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9975"/>
  </bookViews>
  <sheets>
    <sheet name="1" sheetId="1" r:id="rId1"/>
  </sheets>
  <definedNames>
    <definedName name="_xlnm._FilterDatabase" localSheetId="0" hidden="1">'1'!$A$2:$I$178</definedName>
    <definedName name="_xlnm.Print_Titles" localSheetId="0">'1'!$1:$2</definedName>
  </definedNames>
  <calcPr calcId="144525"/>
</workbook>
</file>

<file path=xl/calcChain.xml><?xml version="1.0" encoding="utf-8"?>
<calcChain xmlns="http://schemas.openxmlformats.org/spreadsheetml/2006/main">
  <c r="K178" i="1"/>
  <c r="I178"/>
  <c r="F178"/>
  <c r="E178"/>
  <c r="D178"/>
  <c r="K177"/>
  <c r="I177"/>
  <c r="F177"/>
  <c r="E177"/>
  <c r="D177"/>
  <c r="K176"/>
  <c r="I176"/>
  <c r="F176"/>
  <c r="E176"/>
  <c r="D176"/>
  <c r="K175"/>
  <c r="I175"/>
  <c r="F175"/>
  <c r="E175"/>
  <c r="D175"/>
  <c r="K174"/>
  <c r="I174"/>
  <c r="F174"/>
  <c r="E174"/>
  <c r="D174"/>
  <c r="K173"/>
  <c r="I173"/>
  <c r="F173"/>
  <c r="E173"/>
  <c r="D173"/>
  <c r="K172"/>
  <c r="I172"/>
  <c r="F172"/>
  <c r="E172"/>
  <c r="D172"/>
  <c r="K171"/>
  <c r="I171"/>
  <c r="F171"/>
  <c r="E171"/>
  <c r="D171"/>
  <c r="K170"/>
  <c r="I170"/>
  <c r="F170"/>
  <c r="E170"/>
  <c r="D170"/>
  <c r="K169"/>
  <c r="I169"/>
  <c r="F169"/>
  <c r="E169"/>
  <c r="D169"/>
  <c r="K168"/>
  <c r="I168"/>
  <c r="F168"/>
  <c r="E168"/>
  <c r="D168"/>
  <c r="K167"/>
  <c r="I167"/>
  <c r="F167"/>
  <c r="E167"/>
  <c r="D167"/>
  <c r="K166"/>
  <c r="I166"/>
  <c r="F166"/>
  <c r="E166"/>
  <c r="D166"/>
  <c r="K165"/>
  <c r="I165"/>
  <c r="F165"/>
  <c r="E165"/>
  <c r="D165"/>
  <c r="K164"/>
  <c r="I164"/>
  <c r="F164"/>
  <c r="E164"/>
  <c r="D164"/>
  <c r="K163"/>
  <c r="I163"/>
  <c r="F163"/>
  <c r="E163"/>
  <c r="D163"/>
  <c r="K162"/>
  <c r="I162"/>
  <c r="F162"/>
  <c r="E162"/>
  <c r="D162"/>
  <c r="K161"/>
  <c r="I161"/>
  <c r="F161"/>
  <c r="E161"/>
  <c r="D161"/>
  <c r="K160"/>
  <c r="I160"/>
  <c r="F160"/>
  <c r="E160"/>
  <c r="D160"/>
  <c r="K159"/>
  <c r="I159"/>
  <c r="F159"/>
  <c r="E159"/>
  <c r="D159"/>
  <c r="K158"/>
  <c r="I158"/>
  <c r="F158"/>
  <c r="E158"/>
  <c r="D158"/>
  <c r="K157"/>
  <c r="I157"/>
  <c r="F157"/>
  <c r="E157"/>
  <c r="D157"/>
  <c r="K156"/>
  <c r="I156"/>
  <c r="F156"/>
  <c r="E156"/>
  <c r="D156"/>
  <c r="K155"/>
  <c r="I155"/>
  <c r="F155"/>
  <c r="E155"/>
  <c r="D155"/>
  <c r="K154"/>
  <c r="I154"/>
  <c r="F154"/>
  <c r="E154"/>
  <c r="D154"/>
  <c r="K153"/>
  <c r="I153"/>
  <c r="F153"/>
  <c r="E153"/>
  <c r="D153"/>
  <c r="K152"/>
  <c r="I152"/>
  <c r="F152"/>
  <c r="E152"/>
  <c r="D152"/>
  <c r="K151"/>
  <c r="I151"/>
  <c r="F151"/>
  <c r="E151"/>
  <c r="D151"/>
  <c r="K150"/>
  <c r="I150"/>
  <c r="F150"/>
  <c r="E150"/>
  <c r="D150"/>
  <c r="K149"/>
  <c r="I149"/>
  <c r="F149"/>
  <c r="E149"/>
  <c r="D149"/>
  <c r="K148"/>
  <c r="I148"/>
  <c r="F148"/>
  <c r="E148"/>
  <c r="D148"/>
  <c r="K147"/>
  <c r="I147"/>
  <c r="F147"/>
  <c r="E147"/>
  <c r="D147"/>
  <c r="K146"/>
  <c r="I146"/>
  <c r="F146"/>
  <c r="E146"/>
  <c r="D146"/>
  <c r="K145"/>
  <c r="I145"/>
  <c r="F145"/>
  <c r="E145"/>
  <c r="D145"/>
  <c r="K144"/>
  <c r="I144"/>
  <c r="F144"/>
  <c r="E144"/>
  <c r="D144"/>
  <c r="K143"/>
  <c r="I143"/>
  <c r="F143"/>
  <c r="E143"/>
  <c r="D143"/>
  <c r="K142"/>
  <c r="I142"/>
  <c r="F142"/>
  <c r="E142"/>
  <c r="D142"/>
  <c r="K141"/>
  <c r="I141"/>
  <c r="F141"/>
  <c r="E141"/>
  <c r="D141"/>
  <c r="K140"/>
  <c r="I140"/>
  <c r="F140"/>
  <c r="E140"/>
  <c r="D140"/>
  <c r="K139"/>
  <c r="I139"/>
  <c r="F139"/>
  <c r="E139"/>
  <c r="D139"/>
  <c r="K138"/>
  <c r="I138"/>
  <c r="F138"/>
  <c r="E138"/>
  <c r="D138"/>
  <c r="K137"/>
  <c r="I137"/>
  <c r="F137"/>
  <c r="E137"/>
  <c r="D137"/>
  <c r="K136"/>
  <c r="I136"/>
  <c r="F136"/>
  <c r="E136"/>
  <c r="D136"/>
  <c r="K135"/>
  <c r="I135"/>
  <c r="F135"/>
  <c r="E135"/>
  <c r="D135"/>
  <c r="K134"/>
  <c r="I134"/>
  <c r="F134"/>
  <c r="E134"/>
  <c r="D134"/>
  <c r="K133"/>
  <c r="I133"/>
  <c r="F133"/>
  <c r="E133"/>
  <c r="D133"/>
  <c r="K132"/>
  <c r="I132"/>
  <c r="F132"/>
  <c r="E132"/>
  <c r="D132"/>
  <c r="K131"/>
  <c r="I131"/>
  <c r="F131"/>
  <c r="E131"/>
  <c r="D131"/>
  <c r="K130"/>
  <c r="I130"/>
  <c r="F130"/>
  <c r="E130"/>
  <c r="D130"/>
  <c r="K129"/>
  <c r="I129"/>
  <c r="F129"/>
  <c r="E129"/>
  <c r="D129"/>
  <c r="K128"/>
  <c r="I128"/>
  <c r="F128"/>
  <c r="E128"/>
  <c r="D128"/>
  <c r="K127"/>
  <c r="I127"/>
  <c r="F127"/>
  <c r="E127"/>
  <c r="D127"/>
  <c r="K126"/>
  <c r="I126"/>
  <c r="F126"/>
  <c r="E126"/>
  <c r="D126"/>
  <c r="K125"/>
  <c r="I125"/>
  <c r="F125"/>
  <c r="E125"/>
  <c r="D125"/>
  <c r="K124"/>
  <c r="I124"/>
  <c r="F124"/>
  <c r="E124"/>
  <c r="D124"/>
  <c r="K123"/>
  <c r="I123"/>
  <c r="F123"/>
  <c r="E123"/>
  <c r="D123"/>
  <c r="K122"/>
  <c r="I122"/>
  <c r="F122"/>
  <c r="E122"/>
  <c r="D122"/>
  <c r="K121"/>
  <c r="I121"/>
  <c r="F121"/>
  <c r="E121"/>
  <c r="D121"/>
  <c r="K120"/>
  <c r="I120"/>
  <c r="F120"/>
  <c r="E120"/>
  <c r="D120"/>
  <c r="K119"/>
  <c r="I119"/>
  <c r="F119"/>
  <c r="E119"/>
  <c r="D119"/>
  <c r="K118"/>
  <c r="I118"/>
  <c r="F118"/>
  <c r="E118"/>
  <c r="D118"/>
  <c r="K117"/>
  <c r="I117"/>
  <c r="F117"/>
  <c r="E117"/>
  <c r="D117"/>
  <c r="K116"/>
  <c r="I116"/>
  <c r="F116"/>
  <c r="E116"/>
  <c r="D116"/>
  <c r="K115"/>
  <c r="I115"/>
  <c r="F115"/>
  <c r="E115"/>
  <c r="D115"/>
  <c r="K114"/>
  <c r="I114"/>
  <c r="F114"/>
  <c r="E114"/>
  <c r="D114"/>
  <c r="K113"/>
  <c r="I113"/>
  <c r="F113"/>
  <c r="E113"/>
  <c r="D113"/>
  <c r="K112"/>
  <c r="I112"/>
  <c r="F112"/>
  <c r="E112"/>
  <c r="D112"/>
  <c r="K111"/>
  <c r="I111"/>
  <c r="F111"/>
  <c r="E111"/>
  <c r="D111"/>
  <c r="K110"/>
  <c r="I110"/>
  <c r="F110"/>
  <c r="E110"/>
  <c r="D110"/>
  <c r="K109"/>
  <c r="I109"/>
  <c r="F109"/>
  <c r="E109"/>
  <c r="D109"/>
  <c r="K108"/>
  <c r="I108"/>
  <c r="F108"/>
  <c r="E108"/>
  <c r="D108"/>
  <c r="K107"/>
  <c r="I107"/>
  <c r="F107"/>
  <c r="E107"/>
  <c r="D107"/>
  <c r="K106"/>
  <c r="I106"/>
  <c r="F106"/>
  <c r="E106"/>
  <c r="D106"/>
  <c r="K105"/>
  <c r="I105"/>
  <c r="F105"/>
  <c r="E105"/>
  <c r="D105"/>
  <c r="K104"/>
  <c r="I104"/>
  <c r="F104"/>
  <c r="E104"/>
  <c r="D104"/>
  <c r="K103"/>
  <c r="I103"/>
  <c r="F103"/>
  <c r="E103"/>
  <c r="D103"/>
  <c r="K102"/>
  <c r="I102"/>
  <c r="F102"/>
  <c r="E102"/>
  <c r="D102"/>
  <c r="K101"/>
  <c r="I101"/>
  <c r="F101"/>
  <c r="E101"/>
  <c r="D101"/>
  <c r="K100"/>
  <c r="I100"/>
  <c r="F100"/>
  <c r="E100"/>
  <c r="D100"/>
  <c r="K99"/>
  <c r="I99"/>
  <c r="F99"/>
  <c r="E99"/>
  <c r="D99"/>
  <c r="K98"/>
  <c r="I98"/>
  <c r="F98"/>
  <c r="E98"/>
  <c r="D98"/>
  <c r="K97"/>
  <c r="I97"/>
  <c r="F97"/>
  <c r="E97"/>
  <c r="D97"/>
  <c r="K96"/>
  <c r="I96"/>
  <c r="F96"/>
  <c r="E96"/>
  <c r="D96"/>
  <c r="K95"/>
  <c r="I95"/>
  <c r="F95"/>
  <c r="E95"/>
  <c r="D95"/>
  <c r="K94"/>
  <c r="I94"/>
  <c r="F94"/>
  <c r="E94"/>
  <c r="D94"/>
  <c r="K93"/>
  <c r="I93"/>
  <c r="F93"/>
  <c r="E93"/>
  <c r="D93"/>
  <c r="K92"/>
  <c r="I92"/>
  <c r="F92"/>
  <c r="E92"/>
  <c r="D92"/>
  <c r="K91"/>
  <c r="I91"/>
  <c r="F91"/>
  <c r="E91"/>
  <c r="D91"/>
  <c r="K90"/>
  <c r="I90"/>
  <c r="F90"/>
  <c r="E90"/>
  <c r="D90"/>
  <c r="K89"/>
  <c r="I89"/>
  <c r="F89"/>
  <c r="E89"/>
  <c r="D89"/>
  <c r="K88"/>
  <c r="I88"/>
  <c r="F88"/>
  <c r="E88"/>
  <c r="D88"/>
  <c r="K87"/>
  <c r="I87"/>
  <c r="F87"/>
  <c r="E87"/>
  <c r="D87"/>
  <c r="K86"/>
  <c r="I86"/>
  <c r="F86"/>
  <c r="E86"/>
  <c r="D86"/>
  <c r="K85"/>
  <c r="I85"/>
  <c r="F85"/>
  <c r="E85"/>
  <c r="D85"/>
  <c r="K84"/>
  <c r="I84"/>
  <c r="F84"/>
  <c r="E84"/>
  <c r="D84"/>
  <c r="K83"/>
  <c r="I83"/>
  <c r="F83"/>
  <c r="E83"/>
  <c r="D83"/>
  <c r="K82"/>
  <c r="I82"/>
  <c r="F82"/>
  <c r="E82"/>
  <c r="D82"/>
  <c r="K81"/>
  <c r="I81"/>
  <c r="F81"/>
  <c r="E81"/>
  <c r="D81"/>
  <c r="K80"/>
  <c r="I80"/>
  <c r="F80"/>
  <c r="E80"/>
  <c r="D80"/>
  <c r="K79"/>
  <c r="I79"/>
  <c r="F79"/>
  <c r="E79"/>
  <c r="D79"/>
  <c r="K78"/>
  <c r="I78"/>
  <c r="F78"/>
  <c r="E78"/>
  <c r="D78"/>
  <c r="K77"/>
  <c r="I77"/>
  <c r="F77"/>
  <c r="E77"/>
  <c r="D77"/>
  <c r="K76"/>
  <c r="I76"/>
  <c r="F76"/>
  <c r="E76"/>
  <c r="D76"/>
  <c r="K75"/>
  <c r="I75"/>
  <c r="F75"/>
  <c r="E75"/>
  <c r="D75"/>
  <c r="K74"/>
  <c r="I74"/>
  <c r="F74"/>
  <c r="E74"/>
  <c r="D74"/>
  <c r="K73"/>
  <c r="I73"/>
  <c r="F73"/>
  <c r="E73"/>
  <c r="D73"/>
  <c r="K72"/>
  <c r="I72"/>
  <c r="F72"/>
  <c r="E72"/>
  <c r="D72"/>
  <c r="K71"/>
  <c r="I71"/>
  <c r="F71"/>
  <c r="E71"/>
  <c r="D71"/>
  <c r="K70"/>
  <c r="I70"/>
  <c r="F70"/>
  <c r="E70"/>
  <c r="D70"/>
  <c r="K69"/>
  <c r="I69"/>
  <c r="F69"/>
  <c r="E69"/>
  <c r="D69"/>
  <c r="K68"/>
  <c r="I68"/>
  <c r="F68"/>
  <c r="E68"/>
  <c r="D68"/>
  <c r="K67"/>
  <c r="I67"/>
  <c r="F67"/>
  <c r="E67"/>
  <c r="D67"/>
  <c r="K66"/>
  <c r="I66"/>
  <c r="F66"/>
  <c r="E66"/>
  <c r="D66"/>
  <c r="K65"/>
  <c r="I65"/>
  <c r="F65"/>
  <c r="E65"/>
  <c r="D65"/>
  <c r="K64"/>
  <c r="I64"/>
  <c r="F64"/>
  <c r="E64"/>
  <c r="D64"/>
  <c r="K63"/>
  <c r="I63"/>
  <c r="F63"/>
  <c r="E63"/>
  <c r="D63"/>
  <c r="K62"/>
  <c r="I62"/>
  <c r="F62"/>
  <c r="E62"/>
  <c r="D62"/>
  <c r="K61"/>
  <c r="I61"/>
  <c r="F61"/>
  <c r="E61"/>
  <c r="D61"/>
  <c r="K60"/>
  <c r="I60"/>
  <c r="F60"/>
  <c r="E60"/>
  <c r="D60"/>
  <c r="K59"/>
  <c r="I59"/>
  <c r="F59"/>
  <c r="E59"/>
  <c r="D59"/>
  <c r="K58"/>
  <c r="I58"/>
  <c r="F58"/>
  <c r="E58"/>
  <c r="D58"/>
  <c r="K57"/>
  <c r="I57"/>
  <c r="F57"/>
  <c r="E57"/>
  <c r="D57"/>
  <c r="K56"/>
  <c r="I56"/>
  <c r="F56"/>
  <c r="E56"/>
  <c r="D56"/>
  <c r="K55"/>
  <c r="I55"/>
  <c r="F55"/>
  <c r="E55"/>
  <c r="D55"/>
  <c r="K54"/>
  <c r="I54"/>
  <c r="F54"/>
  <c r="E54"/>
  <c r="D54"/>
  <c r="K53"/>
  <c r="I53"/>
  <c r="F53"/>
  <c r="E53"/>
  <c r="D53"/>
  <c r="K52"/>
  <c r="I52"/>
  <c r="F52"/>
  <c r="E52"/>
  <c r="D52"/>
  <c r="K51"/>
  <c r="I51"/>
  <c r="F51"/>
  <c r="E51"/>
  <c r="D51"/>
  <c r="K50"/>
  <c r="I50"/>
  <c r="F50"/>
  <c r="E50"/>
  <c r="D50"/>
  <c r="K49"/>
  <c r="I49"/>
  <c r="F49"/>
  <c r="E49"/>
  <c r="D49"/>
  <c r="K48"/>
  <c r="I48"/>
  <c r="F48"/>
  <c r="E48"/>
  <c r="D48"/>
  <c r="K47"/>
  <c r="I47"/>
  <c r="F47"/>
  <c r="E47"/>
  <c r="D47"/>
  <c r="K46"/>
  <c r="I46"/>
  <c r="F46"/>
  <c r="E46"/>
  <c r="D46"/>
  <c r="K45"/>
  <c r="I45"/>
  <c r="F45"/>
  <c r="E45"/>
  <c r="D45"/>
  <c r="K44"/>
  <c r="I44"/>
  <c r="F44"/>
  <c r="E44"/>
  <c r="D44"/>
  <c r="K43"/>
  <c r="I43"/>
  <c r="F43"/>
  <c r="E43"/>
  <c r="D43"/>
  <c r="K42"/>
  <c r="I42"/>
  <c r="F42"/>
  <c r="E42"/>
  <c r="D42"/>
  <c r="K41"/>
  <c r="I41"/>
  <c r="F41"/>
  <c r="E41"/>
  <c r="D41"/>
  <c r="K40"/>
  <c r="I40"/>
  <c r="F40"/>
  <c r="E40"/>
  <c r="D40"/>
  <c r="K39"/>
  <c r="I39"/>
  <c r="F39"/>
  <c r="E39"/>
  <c r="D39"/>
  <c r="K38"/>
  <c r="I38"/>
  <c r="F38"/>
  <c r="E38"/>
  <c r="D38"/>
  <c r="K37"/>
  <c r="I37"/>
  <c r="F37"/>
  <c r="E37"/>
  <c r="D37"/>
  <c r="K36"/>
  <c r="I36"/>
  <c r="F36"/>
  <c r="E36"/>
  <c r="D36"/>
  <c r="K35"/>
  <c r="I35"/>
  <c r="F35"/>
  <c r="E35"/>
  <c r="D35"/>
  <c r="K34"/>
  <c r="I34"/>
  <c r="F34"/>
  <c r="E34"/>
  <c r="D34"/>
  <c r="K33"/>
  <c r="I33"/>
  <c r="F33"/>
  <c r="E33"/>
  <c r="D33"/>
  <c r="K32"/>
  <c r="I32"/>
  <c r="F32"/>
  <c r="E32"/>
  <c r="D32"/>
  <c r="K31"/>
  <c r="I31"/>
  <c r="F31"/>
  <c r="E31"/>
  <c r="D31"/>
  <c r="K30"/>
  <c r="I30"/>
  <c r="F30"/>
  <c r="E30"/>
  <c r="D30"/>
  <c r="K29"/>
  <c r="I29"/>
  <c r="F29"/>
  <c r="E29"/>
  <c r="D29"/>
  <c r="K28"/>
  <c r="I28"/>
  <c r="F28"/>
  <c r="E28"/>
  <c r="D28"/>
  <c r="K27"/>
  <c r="I27"/>
  <c r="F27"/>
  <c r="E27"/>
  <c r="D27"/>
  <c r="K26"/>
  <c r="I26"/>
  <c r="F26"/>
  <c r="E26"/>
  <c r="D26"/>
  <c r="K25"/>
  <c r="I25"/>
  <c r="F25"/>
  <c r="E25"/>
  <c r="D25"/>
  <c r="K24"/>
  <c r="I24"/>
  <c r="F24"/>
  <c r="E24"/>
  <c r="D24"/>
  <c r="K23"/>
  <c r="I23"/>
  <c r="F23"/>
  <c r="E23"/>
  <c r="D23"/>
  <c r="K22"/>
  <c r="I22"/>
  <c r="F22"/>
  <c r="E22"/>
  <c r="D22"/>
  <c r="K21"/>
  <c r="I21"/>
  <c r="F21"/>
  <c r="E21"/>
  <c r="D21"/>
  <c r="K20"/>
  <c r="I20"/>
  <c r="F20"/>
  <c r="E20"/>
  <c r="D20"/>
  <c r="K19"/>
  <c r="I19"/>
  <c r="F19"/>
  <c r="E19"/>
  <c r="D19"/>
  <c r="K18"/>
  <c r="I18"/>
  <c r="F18"/>
  <c r="E18"/>
  <c r="D18"/>
  <c r="K17"/>
  <c r="I17"/>
  <c r="F17"/>
  <c r="E17"/>
  <c r="D17"/>
  <c r="K16"/>
  <c r="I16"/>
  <c r="F16"/>
  <c r="E16"/>
  <c r="D16"/>
  <c r="K15"/>
  <c r="I15"/>
  <c r="F15"/>
  <c r="E15"/>
  <c r="D15"/>
  <c r="K14"/>
  <c r="I14"/>
  <c r="F14"/>
  <c r="E14"/>
  <c r="D14"/>
  <c r="K13"/>
  <c r="I13"/>
  <c r="F13"/>
  <c r="E13"/>
  <c r="D13"/>
  <c r="K12"/>
  <c r="I12"/>
  <c r="F12"/>
  <c r="E12"/>
  <c r="D12"/>
  <c r="K11"/>
  <c r="I11"/>
  <c r="F11"/>
  <c r="E11"/>
  <c r="D11"/>
  <c r="K10"/>
  <c r="I10"/>
  <c r="F10"/>
  <c r="E10"/>
  <c r="D10"/>
  <c r="K9"/>
  <c r="I9"/>
  <c r="F9"/>
  <c r="E9"/>
  <c r="D9"/>
  <c r="K8"/>
  <c r="I8"/>
  <c r="F8"/>
  <c r="E8"/>
  <c r="D8"/>
  <c r="K7"/>
  <c r="I7"/>
  <c r="F7"/>
  <c r="E7"/>
  <c r="D7"/>
  <c r="K6"/>
  <c r="I6"/>
  <c r="F6"/>
  <c r="E6"/>
  <c r="D6"/>
  <c r="K5"/>
  <c r="I5"/>
  <c r="F5"/>
  <c r="E5"/>
  <c r="D5"/>
  <c r="K4"/>
  <c r="I4"/>
  <c r="F4"/>
  <c r="E4"/>
  <c r="D4"/>
  <c r="K3"/>
  <c r="I3"/>
  <c r="F3"/>
  <c r="E3"/>
  <c r="D3"/>
</calcChain>
</file>

<file path=xl/sharedStrings.xml><?xml version="1.0" encoding="utf-8"?>
<sst xmlns="http://schemas.openxmlformats.org/spreadsheetml/2006/main" count="190" uniqueCount="37">
  <si>
    <t>固镇县2020年公开招聘编外
教师体检人员名单</t>
  </si>
  <si>
    <t>总序号</t>
  </si>
  <si>
    <t>分序号</t>
  </si>
  <si>
    <t>职位代码</t>
  </si>
  <si>
    <t>准考证号</t>
  </si>
  <si>
    <t>考场号</t>
  </si>
  <si>
    <t>座位号</t>
  </si>
  <si>
    <t>公共知识成绩</t>
  </si>
  <si>
    <t>专业知识成绩</t>
  </si>
  <si>
    <t>笔试成绩</t>
  </si>
  <si>
    <t>面试成绩</t>
  </si>
  <si>
    <t>合成总成绩</t>
  </si>
  <si>
    <t>体检组别</t>
  </si>
  <si>
    <t>备注</t>
  </si>
  <si>
    <t>202002-初中数学组</t>
  </si>
  <si>
    <t>202004-初中物理组</t>
  </si>
  <si>
    <t>202008-初中体育组</t>
  </si>
  <si>
    <t>202011-小学语文A组</t>
  </si>
  <si>
    <t>202012-小学语文B组</t>
  </si>
  <si>
    <t>202013-小学语文C组</t>
  </si>
  <si>
    <t>202014-小学数学A组</t>
  </si>
  <si>
    <t>202015-小学数学B组</t>
  </si>
  <si>
    <t>202016-小学数学C组</t>
  </si>
  <si>
    <t>202017-小学英语组</t>
  </si>
  <si>
    <t>202018-小学音乐组</t>
  </si>
  <si>
    <t>202019-小学体育组</t>
  </si>
  <si>
    <t>202022-小学科学组</t>
  </si>
  <si>
    <t>202001-初中语文组</t>
  </si>
  <si>
    <t>202003-初中英语组</t>
  </si>
  <si>
    <t>202005-初中化学组</t>
  </si>
  <si>
    <t>202007-初中音乐组</t>
  </si>
  <si>
    <t>202009-初中美术组</t>
  </si>
  <si>
    <t>202020-小学美术组</t>
  </si>
  <si>
    <t>202021-小学信息技术组</t>
  </si>
  <si>
    <t>202023-幼儿园A组</t>
  </si>
  <si>
    <t>202024-幼儿园B组</t>
  </si>
  <si>
    <t>202025-幼儿园C组</t>
  </si>
</sst>
</file>

<file path=xl/styles.xml><?xml version="1.0" encoding="utf-8"?>
<styleSheet xmlns="http://schemas.openxmlformats.org/spreadsheetml/2006/main">
  <numFmts count="3">
    <numFmt numFmtId="178" formatCode="0_ "/>
    <numFmt numFmtId="179" formatCode="0.00_);[Red]\(0.00\)"/>
    <numFmt numFmtId="180" formatCode="0.00_ "/>
  </numFmts>
  <fonts count="13">
    <font>
      <sz val="12"/>
      <name val="宋体"/>
      <charset val="134"/>
    </font>
    <font>
      <sz val="12"/>
      <color rgb="FFFF0000"/>
      <name val="宋体"/>
      <charset val="134"/>
    </font>
    <font>
      <b/>
      <sz val="14"/>
      <name val="宋体"/>
      <charset val="134"/>
    </font>
    <font>
      <sz val="12"/>
      <name val="方正小标宋简体"/>
      <charset val="134"/>
    </font>
    <font>
      <b/>
      <sz val="12"/>
      <name val="方正小标宋简体"/>
      <charset val="134"/>
    </font>
    <font>
      <b/>
      <sz val="22"/>
      <name val="方正小标宋简体"/>
      <charset val="134"/>
    </font>
    <font>
      <sz val="20"/>
      <name val="方正小标宋简体"/>
      <charset val="134"/>
    </font>
    <font>
      <b/>
      <sz val="12"/>
      <color rgb="FFFF0000"/>
      <name val="方正小标宋简体"/>
      <charset val="134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方正小标宋简体"/>
      <family val="4"/>
      <charset val="134"/>
    </font>
    <font>
      <sz val="20"/>
      <color theme="1"/>
      <name val="方正小标宋简体"/>
      <family val="4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180" fontId="0" fillId="2" borderId="0" xfId="0" applyNumberFormat="1" applyFill="1" applyAlignment="1">
      <alignment horizontal="center" vertical="center"/>
    </xf>
    <xf numFmtId="179" fontId="3" fillId="2" borderId="0" xfId="0" applyNumberFormat="1" applyFont="1" applyFill="1" applyAlignment="1">
      <alignment horizontal="center" vertical="center" wrapText="1"/>
    </xf>
    <xf numFmtId="178" fontId="3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180" fontId="0" fillId="2" borderId="1" xfId="0" applyNumberFormat="1" applyFill="1" applyBorder="1" applyAlignment="1">
      <alignment horizontal="center" vertical="center" wrapText="1"/>
    </xf>
    <xf numFmtId="179" fontId="3" fillId="2" borderId="1" xfId="0" applyNumberFormat="1" applyFont="1" applyFill="1" applyBorder="1" applyAlignment="1">
      <alignment horizontal="center" vertical="center" wrapText="1"/>
    </xf>
    <xf numFmtId="178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80" fontId="0" fillId="2" borderId="1" xfId="0" applyNumberFormat="1" applyFont="1" applyFill="1" applyBorder="1" applyAlignment="1">
      <alignment horizontal="center" vertical="center"/>
    </xf>
    <xf numFmtId="178" fontId="6" fillId="2" borderId="1" xfId="0" applyNumberFormat="1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80" fontId="0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178" fontId="4" fillId="2" borderId="0" xfId="0" applyNumberFormat="1" applyFont="1" applyFill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180" fontId="9" fillId="2" borderId="1" xfId="0" applyNumberFormat="1" applyFont="1" applyFill="1" applyBorder="1" applyAlignment="1">
      <alignment horizontal="center" vertical="center"/>
    </xf>
    <xf numFmtId="179" fontId="10" fillId="2" borderId="1" xfId="0" applyNumberFormat="1" applyFont="1" applyFill="1" applyBorder="1" applyAlignment="1">
      <alignment horizontal="center" vertical="center" wrapText="1"/>
    </xf>
    <xf numFmtId="178" fontId="1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79"/>
  <sheetViews>
    <sheetView tabSelected="1" workbookViewId="0">
      <pane ySplit="2" topLeftCell="A171" activePane="bottomLeft" state="frozen"/>
      <selection pane="bottomLeft" activeCell="B176" sqref="B176:L176"/>
    </sheetView>
  </sheetViews>
  <sheetFormatPr defaultColWidth="9" defaultRowHeight="18.75"/>
  <cols>
    <col min="1" max="1" width="6.25" style="3" customWidth="1"/>
    <col min="2" max="2" width="6" style="3" customWidth="1"/>
    <col min="3" max="3" width="17.75" style="4" customWidth="1"/>
    <col min="4" max="4" width="12.75" style="5" customWidth="1"/>
    <col min="5" max="6" width="5.75" style="5" customWidth="1"/>
    <col min="7" max="8" width="7.5" style="5" customWidth="1"/>
    <col min="9" max="9" width="8.75" style="6" customWidth="1"/>
    <col min="10" max="10" width="7.75" style="7" customWidth="1"/>
    <col min="11" max="11" width="8.75" style="7" customWidth="1"/>
    <col min="12" max="12" width="6.375" style="8" customWidth="1"/>
    <col min="13" max="13" width="7.75" style="9" customWidth="1"/>
    <col min="14" max="223" width="9" style="5" customWidth="1"/>
    <col min="224" max="16384" width="9" style="5"/>
  </cols>
  <sheetData>
    <row r="1" spans="1:14" ht="60.9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5"/>
      <c r="K1" s="25"/>
      <c r="L1" s="26"/>
      <c r="M1" s="24"/>
    </row>
    <row r="2" spans="1:14" ht="41.1" customHeight="1">
      <c r="A2" s="10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5" t="s">
        <v>9</v>
      </c>
      <c r="J2" s="16" t="s">
        <v>10</v>
      </c>
      <c r="K2" s="16" t="s">
        <v>11</v>
      </c>
      <c r="L2" s="17" t="s">
        <v>12</v>
      </c>
      <c r="M2" s="18" t="s">
        <v>13</v>
      </c>
    </row>
    <row r="3" spans="1:14" s="1" customFormat="1" ht="32.1" customHeight="1">
      <c r="A3" s="12">
        <v>1</v>
      </c>
      <c r="B3" s="12">
        <v>1</v>
      </c>
      <c r="C3" s="13" t="s">
        <v>14</v>
      </c>
      <c r="D3" s="14" t="str">
        <f>"2020023804"</f>
        <v>2020023804</v>
      </c>
      <c r="E3" s="14" t="str">
        <f>"38"</f>
        <v>38</v>
      </c>
      <c r="F3" s="14" t="str">
        <f>"04"</f>
        <v>04</v>
      </c>
      <c r="G3" s="14">
        <v>72</v>
      </c>
      <c r="H3" s="14">
        <v>78</v>
      </c>
      <c r="I3" s="19">
        <f t="shared" ref="I3:I66" si="0">G3*0.4+H3*0.6</f>
        <v>75.599999999999994</v>
      </c>
      <c r="J3" s="16">
        <v>80.599999999999994</v>
      </c>
      <c r="K3" s="16">
        <f t="shared" ref="K3:K66" si="1">I3*0.3+J3*0.7</f>
        <v>79.099999999999994</v>
      </c>
      <c r="L3" s="20">
        <v>1</v>
      </c>
      <c r="M3" s="18"/>
      <c r="N3" s="21"/>
    </row>
    <row r="4" spans="1:14" s="1" customFormat="1" ht="32.1" customHeight="1">
      <c r="A4" s="12">
        <v>2</v>
      </c>
      <c r="B4" s="12">
        <v>2</v>
      </c>
      <c r="C4" s="13" t="s">
        <v>14</v>
      </c>
      <c r="D4" s="14" t="str">
        <f>"2020023802"</f>
        <v>2020023802</v>
      </c>
      <c r="E4" s="14" t="str">
        <f>"38"</f>
        <v>38</v>
      </c>
      <c r="F4" s="14" t="str">
        <f>"02"</f>
        <v>02</v>
      </c>
      <c r="G4" s="14">
        <v>57</v>
      </c>
      <c r="H4" s="14">
        <v>68</v>
      </c>
      <c r="I4" s="19">
        <f t="shared" si="0"/>
        <v>63.6</v>
      </c>
      <c r="J4" s="16">
        <v>73</v>
      </c>
      <c r="K4" s="16">
        <f t="shared" si="1"/>
        <v>70.180000000000007</v>
      </c>
      <c r="L4" s="20">
        <v>1</v>
      </c>
      <c r="M4" s="18"/>
    </row>
    <row r="5" spans="1:14" s="1" customFormat="1" ht="32.1" customHeight="1">
      <c r="A5" s="12">
        <v>3</v>
      </c>
      <c r="B5" s="12">
        <v>3</v>
      </c>
      <c r="C5" s="13" t="s">
        <v>15</v>
      </c>
      <c r="D5" s="14" t="str">
        <f>"2020043822"</f>
        <v>2020043822</v>
      </c>
      <c r="E5" s="14" t="str">
        <f>"38"</f>
        <v>38</v>
      </c>
      <c r="F5" s="14" t="str">
        <f>"22"</f>
        <v>22</v>
      </c>
      <c r="G5" s="14">
        <v>60</v>
      </c>
      <c r="H5" s="14">
        <v>71</v>
      </c>
      <c r="I5" s="19">
        <f t="shared" si="0"/>
        <v>66.599999999999994</v>
      </c>
      <c r="J5" s="16">
        <v>78.599999999999994</v>
      </c>
      <c r="K5" s="16">
        <f t="shared" si="1"/>
        <v>75</v>
      </c>
      <c r="L5" s="20">
        <v>1</v>
      </c>
      <c r="M5" s="18"/>
    </row>
    <row r="6" spans="1:14" s="1" customFormat="1" ht="32.1" customHeight="1">
      <c r="A6" s="12">
        <v>4</v>
      </c>
      <c r="B6" s="12">
        <v>4</v>
      </c>
      <c r="C6" s="13" t="s">
        <v>16</v>
      </c>
      <c r="D6" s="14" t="str">
        <f>"2020083712"</f>
        <v>2020083712</v>
      </c>
      <c r="E6" s="14" t="str">
        <f>"37"</f>
        <v>37</v>
      </c>
      <c r="F6" s="14" t="str">
        <f>"12"</f>
        <v>12</v>
      </c>
      <c r="G6" s="14">
        <v>52</v>
      </c>
      <c r="H6" s="14">
        <v>63.5</v>
      </c>
      <c r="I6" s="19">
        <f t="shared" si="0"/>
        <v>58.9</v>
      </c>
      <c r="J6" s="16">
        <v>77.8</v>
      </c>
      <c r="K6" s="16">
        <f t="shared" si="1"/>
        <v>72.13</v>
      </c>
      <c r="L6" s="20">
        <v>1</v>
      </c>
      <c r="M6" s="18"/>
    </row>
    <row r="7" spans="1:14" s="1" customFormat="1" ht="32.1" customHeight="1">
      <c r="A7" s="12">
        <v>5</v>
      </c>
      <c r="B7" s="12">
        <v>5</v>
      </c>
      <c r="C7" s="13" t="s">
        <v>17</v>
      </c>
      <c r="D7" s="14" t="str">
        <f>"2020110806"</f>
        <v>2020110806</v>
      </c>
      <c r="E7" s="14" t="str">
        <f>"08"</f>
        <v>08</v>
      </c>
      <c r="F7" s="14" t="str">
        <f>"06"</f>
        <v>06</v>
      </c>
      <c r="G7" s="14">
        <v>78</v>
      </c>
      <c r="H7" s="14">
        <v>65</v>
      </c>
      <c r="I7" s="19">
        <f t="shared" si="0"/>
        <v>70.2</v>
      </c>
      <c r="J7" s="16">
        <v>81.8</v>
      </c>
      <c r="K7" s="16">
        <f t="shared" si="1"/>
        <v>78.319999999999993</v>
      </c>
      <c r="L7" s="20">
        <v>1</v>
      </c>
      <c r="M7" s="18"/>
    </row>
    <row r="8" spans="1:14" s="1" customFormat="1" ht="32.1" customHeight="1">
      <c r="A8" s="12">
        <v>6</v>
      </c>
      <c r="B8" s="12">
        <v>6</v>
      </c>
      <c r="C8" s="13" t="s">
        <v>17</v>
      </c>
      <c r="D8" s="14" t="str">
        <f>"2020110925"</f>
        <v>2020110925</v>
      </c>
      <c r="E8" s="14" t="str">
        <f>"09"</f>
        <v>09</v>
      </c>
      <c r="F8" s="14" t="str">
        <f>"25"</f>
        <v>25</v>
      </c>
      <c r="G8" s="14">
        <v>64</v>
      </c>
      <c r="H8" s="14">
        <v>68</v>
      </c>
      <c r="I8" s="19">
        <f t="shared" si="0"/>
        <v>66.400000000000006</v>
      </c>
      <c r="J8" s="16">
        <v>81.2</v>
      </c>
      <c r="K8" s="16">
        <f t="shared" si="1"/>
        <v>76.760000000000005</v>
      </c>
      <c r="L8" s="20">
        <v>1</v>
      </c>
      <c r="M8" s="18"/>
    </row>
    <row r="9" spans="1:14" s="1" customFormat="1" ht="32.1" customHeight="1">
      <c r="A9" s="12">
        <v>7</v>
      </c>
      <c r="B9" s="12">
        <v>7</v>
      </c>
      <c r="C9" s="13" t="s">
        <v>18</v>
      </c>
      <c r="D9" s="14" t="str">
        <f>"2020121217"</f>
        <v>2020121217</v>
      </c>
      <c r="E9" s="14" t="str">
        <f>"12"</f>
        <v>12</v>
      </c>
      <c r="F9" s="14" t="str">
        <f>"17"</f>
        <v>17</v>
      </c>
      <c r="G9" s="14">
        <v>77</v>
      </c>
      <c r="H9" s="14">
        <v>74</v>
      </c>
      <c r="I9" s="19">
        <f t="shared" si="0"/>
        <v>75.2</v>
      </c>
      <c r="J9" s="16">
        <v>83.8</v>
      </c>
      <c r="K9" s="16">
        <f t="shared" si="1"/>
        <v>81.22</v>
      </c>
      <c r="L9" s="20">
        <v>1</v>
      </c>
      <c r="M9" s="18"/>
    </row>
    <row r="10" spans="1:14" s="1" customFormat="1" ht="32.1" customHeight="1">
      <c r="A10" s="12">
        <v>8</v>
      </c>
      <c r="B10" s="12">
        <v>8</v>
      </c>
      <c r="C10" s="13" t="s">
        <v>18</v>
      </c>
      <c r="D10" s="14" t="str">
        <f>"2020121129"</f>
        <v>2020121129</v>
      </c>
      <c r="E10" s="14" t="str">
        <f>"11"</f>
        <v>11</v>
      </c>
      <c r="F10" s="14" t="str">
        <f>"29"</f>
        <v>29</v>
      </c>
      <c r="G10" s="14">
        <v>77</v>
      </c>
      <c r="H10" s="14">
        <v>72</v>
      </c>
      <c r="I10" s="19">
        <f t="shared" si="0"/>
        <v>74</v>
      </c>
      <c r="J10" s="16">
        <v>82</v>
      </c>
      <c r="K10" s="16">
        <f t="shared" si="1"/>
        <v>79.599999999999994</v>
      </c>
      <c r="L10" s="20">
        <v>1</v>
      </c>
      <c r="M10" s="18"/>
    </row>
    <row r="11" spans="1:14" s="1" customFormat="1" ht="32.1" customHeight="1">
      <c r="A11" s="12">
        <v>9</v>
      </c>
      <c r="B11" s="12">
        <v>9</v>
      </c>
      <c r="C11" s="13" t="s">
        <v>19</v>
      </c>
      <c r="D11" s="14" t="str">
        <f>"2020131624"</f>
        <v>2020131624</v>
      </c>
      <c r="E11" s="14" t="str">
        <f>"16"</f>
        <v>16</v>
      </c>
      <c r="F11" s="14" t="str">
        <f>"24"</f>
        <v>24</v>
      </c>
      <c r="G11" s="14">
        <v>78</v>
      </c>
      <c r="H11" s="14">
        <v>74</v>
      </c>
      <c r="I11" s="19">
        <f t="shared" si="0"/>
        <v>75.599999999999994</v>
      </c>
      <c r="J11" s="16">
        <v>80.8</v>
      </c>
      <c r="K11" s="16">
        <f t="shared" si="1"/>
        <v>79.239999999999995</v>
      </c>
      <c r="L11" s="20">
        <v>1</v>
      </c>
      <c r="M11" s="18"/>
    </row>
    <row r="12" spans="1:14" s="1" customFormat="1" ht="32.1" customHeight="1">
      <c r="A12" s="12">
        <v>10</v>
      </c>
      <c r="B12" s="12">
        <v>10</v>
      </c>
      <c r="C12" s="13" t="s">
        <v>19</v>
      </c>
      <c r="D12" s="14" t="str">
        <f>"2020131622"</f>
        <v>2020131622</v>
      </c>
      <c r="E12" s="14" t="str">
        <f>"16"</f>
        <v>16</v>
      </c>
      <c r="F12" s="14" t="str">
        <f>"22"</f>
        <v>22</v>
      </c>
      <c r="G12" s="14">
        <v>80</v>
      </c>
      <c r="H12" s="14">
        <v>71</v>
      </c>
      <c r="I12" s="19">
        <f t="shared" si="0"/>
        <v>74.599999999999994</v>
      </c>
      <c r="J12" s="16">
        <v>77.599999999999994</v>
      </c>
      <c r="K12" s="16">
        <f t="shared" si="1"/>
        <v>76.7</v>
      </c>
      <c r="L12" s="20">
        <v>1</v>
      </c>
      <c r="M12" s="18"/>
    </row>
    <row r="13" spans="1:14" s="1" customFormat="1" ht="32.1" customHeight="1">
      <c r="A13" s="12">
        <v>11</v>
      </c>
      <c r="B13" s="12">
        <v>11</v>
      </c>
      <c r="C13" s="13" t="s">
        <v>20</v>
      </c>
      <c r="D13" s="14" t="str">
        <f>"2020142316"</f>
        <v>2020142316</v>
      </c>
      <c r="E13" s="14" t="str">
        <f>"23"</f>
        <v>23</v>
      </c>
      <c r="F13" s="14" t="str">
        <f>"16"</f>
        <v>16</v>
      </c>
      <c r="G13" s="14">
        <v>85</v>
      </c>
      <c r="H13" s="14">
        <v>89</v>
      </c>
      <c r="I13" s="19">
        <f t="shared" si="0"/>
        <v>87.4</v>
      </c>
      <c r="J13" s="16">
        <v>75.2</v>
      </c>
      <c r="K13" s="16">
        <f t="shared" si="1"/>
        <v>78.86</v>
      </c>
      <c r="L13" s="20">
        <v>1</v>
      </c>
      <c r="M13" s="18"/>
    </row>
    <row r="14" spans="1:14" s="1" customFormat="1" ht="32.1" customHeight="1">
      <c r="A14" s="12">
        <v>12</v>
      </c>
      <c r="B14" s="12">
        <v>12</v>
      </c>
      <c r="C14" s="13" t="s">
        <v>20</v>
      </c>
      <c r="D14" s="14" t="str">
        <f>"2020142122"</f>
        <v>2020142122</v>
      </c>
      <c r="E14" s="14" t="str">
        <f>"21"</f>
        <v>21</v>
      </c>
      <c r="F14" s="14" t="str">
        <f>"22"</f>
        <v>22</v>
      </c>
      <c r="G14" s="14">
        <v>73</v>
      </c>
      <c r="H14" s="14">
        <v>86</v>
      </c>
      <c r="I14" s="19">
        <f t="shared" si="0"/>
        <v>80.8</v>
      </c>
      <c r="J14" s="16">
        <v>76.599999999999994</v>
      </c>
      <c r="K14" s="16">
        <f t="shared" si="1"/>
        <v>77.86</v>
      </c>
      <c r="L14" s="20">
        <v>1</v>
      </c>
      <c r="M14" s="18"/>
    </row>
    <row r="15" spans="1:14" s="1" customFormat="1" ht="32.1" customHeight="1">
      <c r="A15" s="12">
        <v>13</v>
      </c>
      <c r="B15" s="12">
        <v>13</v>
      </c>
      <c r="C15" s="13" t="s">
        <v>20</v>
      </c>
      <c r="D15" s="14" t="str">
        <f>"2020142110"</f>
        <v>2020142110</v>
      </c>
      <c r="E15" s="14" t="str">
        <f>"21"</f>
        <v>21</v>
      </c>
      <c r="F15" s="14" t="str">
        <f>"10"</f>
        <v>10</v>
      </c>
      <c r="G15" s="14">
        <v>78</v>
      </c>
      <c r="H15" s="14">
        <v>89</v>
      </c>
      <c r="I15" s="19">
        <f t="shared" si="0"/>
        <v>84.6</v>
      </c>
      <c r="J15" s="16">
        <v>74.8</v>
      </c>
      <c r="K15" s="16">
        <f t="shared" si="1"/>
        <v>77.739999999999995</v>
      </c>
      <c r="L15" s="20">
        <v>1</v>
      </c>
      <c r="M15" s="18"/>
    </row>
    <row r="16" spans="1:14" s="1" customFormat="1" ht="32.1" customHeight="1">
      <c r="A16" s="12">
        <v>14</v>
      </c>
      <c r="B16" s="12">
        <v>14</v>
      </c>
      <c r="C16" s="13" t="s">
        <v>21</v>
      </c>
      <c r="D16" s="14" t="str">
        <f>"2020152724"</f>
        <v>2020152724</v>
      </c>
      <c r="E16" s="14" t="str">
        <f>"27"</f>
        <v>27</v>
      </c>
      <c r="F16" s="14" t="str">
        <f>"24"</f>
        <v>24</v>
      </c>
      <c r="G16" s="14">
        <v>72</v>
      </c>
      <c r="H16" s="14">
        <v>92</v>
      </c>
      <c r="I16" s="19">
        <f t="shared" si="0"/>
        <v>84</v>
      </c>
      <c r="J16" s="16">
        <v>82</v>
      </c>
      <c r="K16" s="16">
        <f t="shared" si="1"/>
        <v>82.6</v>
      </c>
      <c r="L16" s="20">
        <v>1</v>
      </c>
      <c r="M16" s="18"/>
    </row>
    <row r="17" spans="1:13" s="1" customFormat="1" ht="32.1" customHeight="1">
      <c r="A17" s="12">
        <v>15</v>
      </c>
      <c r="B17" s="12">
        <v>15</v>
      </c>
      <c r="C17" s="13" t="s">
        <v>21</v>
      </c>
      <c r="D17" s="14" t="str">
        <f>"2020152602"</f>
        <v>2020152602</v>
      </c>
      <c r="E17" s="14" t="str">
        <f>"26"</f>
        <v>26</v>
      </c>
      <c r="F17" s="14" t="str">
        <f>"02"</f>
        <v>02</v>
      </c>
      <c r="G17" s="14">
        <v>71</v>
      </c>
      <c r="H17" s="14">
        <v>86</v>
      </c>
      <c r="I17" s="19">
        <f t="shared" si="0"/>
        <v>80</v>
      </c>
      <c r="J17" s="16">
        <v>80.8</v>
      </c>
      <c r="K17" s="16">
        <f t="shared" si="1"/>
        <v>80.56</v>
      </c>
      <c r="L17" s="20">
        <v>1</v>
      </c>
      <c r="M17" s="18"/>
    </row>
    <row r="18" spans="1:13" s="1" customFormat="1" ht="32.1" customHeight="1">
      <c r="A18" s="12">
        <v>16</v>
      </c>
      <c r="B18" s="12">
        <v>16</v>
      </c>
      <c r="C18" s="13" t="s">
        <v>21</v>
      </c>
      <c r="D18" s="14" t="str">
        <f>"2020152525"</f>
        <v>2020152525</v>
      </c>
      <c r="E18" s="14" t="str">
        <f>"25"</f>
        <v>25</v>
      </c>
      <c r="F18" s="14" t="str">
        <f>"25"</f>
        <v>25</v>
      </c>
      <c r="G18" s="14">
        <v>77</v>
      </c>
      <c r="H18" s="14">
        <v>97</v>
      </c>
      <c r="I18" s="19">
        <f t="shared" si="0"/>
        <v>89</v>
      </c>
      <c r="J18" s="16">
        <v>76.599999999999994</v>
      </c>
      <c r="K18" s="16">
        <f t="shared" si="1"/>
        <v>80.319999999999993</v>
      </c>
      <c r="L18" s="20">
        <v>1</v>
      </c>
      <c r="M18" s="18"/>
    </row>
    <row r="19" spans="1:13" s="1" customFormat="1" ht="32.1" customHeight="1">
      <c r="A19" s="12">
        <v>17</v>
      </c>
      <c r="B19" s="12">
        <v>17</v>
      </c>
      <c r="C19" s="13" t="s">
        <v>22</v>
      </c>
      <c r="D19" s="14" t="str">
        <f>"2020162806"</f>
        <v>2020162806</v>
      </c>
      <c r="E19" s="14" t="str">
        <f>"28"</f>
        <v>28</v>
      </c>
      <c r="F19" s="14" t="str">
        <f>"06"</f>
        <v>06</v>
      </c>
      <c r="G19" s="14">
        <v>78</v>
      </c>
      <c r="H19" s="14">
        <v>83</v>
      </c>
      <c r="I19" s="19">
        <f t="shared" si="0"/>
        <v>81</v>
      </c>
      <c r="J19" s="16">
        <v>81</v>
      </c>
      <c r="K19" s="16">
        <f t="shared" si="1"/>
        <v>81</v>
      </c>
      <c r="L19" s="20">
        <v>1</v>
      </c>
      <c r="M19" s="18"/>
    </row>
    <row r="20" spans="1:13" s="1" customFormat="1" ht="32.1" customHeight="1">
      <c r="A20" s="12">
        <v>18</v>
      </c>
      <c r="B20" s="12">
        <v>18</v>
      </c>
      <c r="C20" s="13" t="s">
        <v>23</v>
      </c>
      <c r="D20" s="14" t="str">
        <f>"2020173113"</f>
        <v>2020173113</v>
      </c>
      <c r="E20" s="14" t="str">
        <f>"31"</f>
        <v>31</v>
      </c>
      <c r="F20" s="14" t="str">
        <f>"13"</f>
        <v>13</v>
      </c>
      <c r="G20" s="14">
        <v>84</v>
      </c>
      <c r="H20" s="14">
        <v>75</v>
      </c>
      <c r="I20" s="19">
        <f t="shared" si="0"/>
        <v>78.599999999999994</v>
      </c>
      <c r="J20" s="16">
        <v>78.400000000000006</v>
      </c>
      <c r="K20" s="16">
        <f t="shared" si="1"/>
        <v>78.459999999999994</v>
      </c>
      <c r="L20" s="20">
        <v>1</v>
      </c>
      <c r="M20" s="18"/>
    </row>
    <row r="21" spans="1:13" s="1" customFormat="1" ht="32.1" customHeight="1">
      <c r="A21" s="12">
        <v>19</v>
      </c>
      <c r="B21" s="12">
        <v>19</v>
      </c>
      <c r="C21" s="13" t="s">
        <v>24</v>
      </c>
      <c r="D21" s="14" t="str">
        <f>"2020183618"</f>
        <v>2020183618</v>
      </c>
      <c r="E21" s="14" t="str">
        <f>"36"</f>
        <v>36</v>
      </c>
      <c r="F21" s="14" t="str">
        <f>"18"</f>
        <v>18</v>
      </c>
      <c r="G21" s="14">
        <v>61</v>
      </c>
      <c r="H21" s="14">
        <v>63</v>
      </c>
      <c r="I21" s="19">
        <f t="shared" si="0"/>
        <v>62.2</v>
      </c>
      <c r="J21" s="16">
        <v>76</v>
      </c>
      <c r="K21" s="16">
        <f t="shared" si="1"/>
        <v>71.86</v>
      </c>
      <c r="L21" s="20">
        <v>1</v>
      </c>
      <c r="M21" s="18"/>
    </row>
    <row r="22" spans="1:13" s="1" customFormat="1" ht="32.1" customHeight="1">
      <c r="A22" s="12">
        <v>20</v>
      </c>
      <c r="B22" s="12">
        <v>20</v>
      </c>
      <c r="C22" s="13" t="s">
        <v>25</v>
      </c>
      <c r="D22" s="14" t="str">
        <f>"2020193406"</f>
        <v>2020193406</v>
      </c>
      <c r="E22" s="14" t="str">
        <f>"34"</f>
        <v>34</v>
      </c>
      <c r="F22" s="14" t="str">
        <f>"06"</f>
        <v>06</v>
      </c>
      <c r="G22" s="14">
        <v>69</v>
      </c>
      <c r="H22" s="14">
        <v>76</v>
      </c>
      <c r="I22" s="19">
        <f t="shared" si="0"/>
        <v>73.2</v>
      </c>
      <c r="J22" s="16">
        <v>80.400000000000006</v>
      </c>
      <c r="K22" s="16">
        <f t="shared" si="1"/>
        <v>78.239999999999995</v>
      </c>
      <c r="L22" s="20">
        <v>1</v>
      </c>
      <c r="M22" s="18"/>
    </row>
    <row r="23" spans="1:13" s="1" customFormat="1" ht="32.1" customHeight="1">
      <c r="A23" s="12">
        <v>21</v>
      </c>
      <c r="B23" s="12">
        <v>21</v>
      </c>
      <c r="C23" s="13" t="s">
        <v>25</v>
      </c>
      <c r="D23" s="14" t="str">
        <f>"2020193412"</f>
        <v>2020193412</v>
      </c>
      <c r="E23" s="14" t="str">
        <f>"34"</f>
        <v>34</v>
      </c>
      <c r="F23" s="14" t="str">
        <f>"12"</f>
        <v>12</v>
      </c>
      <c r="G23" s="14">
        <v>69</v>
      </c>
      <c r="H23" s="14">
        <v>84.5</v>
      </c>
      <c r="I23" s="19">
        <f t="shared" si="0"/>
        <v>78.3</v>
      </c>
      <c r="J23" s="16">
        <v>78.2</v>
      </c>
      <c r="K23" s="16">
        <f t="shared" si="1"/>
        <v>78.23</v>
      </c>
      <c r="L23" s="20">
        <v>1</v>
      </c>
      <c r="M23" s="18"/>
    </row>
    <row r="24" spans="1:13" s="1" customFormat="1" ht="32.1" customHeight="1">
      <c r="A24" s="12">
        <v>22</v>
      </c>
      <c r="B24" s="12">
        <v>22</v>
      </c>
      <c r="C24" s="13" t="s">
        <v>25</v>
      </c>
      <c r="D24" s="14" t="str">
        <f>"2020193425"</f>
        <v>2020193425</v>
      </c>
      <c r="E24" s="14" t="str">
        <f>"34"</f>
        <v>34</v>
      </c>
      <c r="F24" s="14" t="str">
        <f>"25"</f>
        <v>25</v>
      </c>
      <c r="G24" s="14">
        <v>65</v>
      </c>
      <c r="H24" s="14">
        <v>76.5</v>
      </c>
      <c r="I24" s="19">
        <f t="shared" si="0"/>
        <v>71.900000000000006</v>
      </c>
      <c r="J24" s="16">
        <v>78.900000000000006</v>
      </c>
      <c r="K24" s="16">
        <f t="shared" si="1"/>
        <v>76.8</v>
      </c>
      <c r="L24" s="20">
        <v>1</v>
      </c>
      <c r="M24" s="18"/>
    </row>
    <row r="25" spans="1:13" s="1" customFormat="1" ht="32.1" customHeight="1">
      <c r="A25" s="12">
        <v>23</v>
      </c>
      <c r="B25" s="12">
        <v>23</v>
      </c>
      <c r="C25" s="13" t="s">
        <v>25</v>
      </c>
      <c r="D25" s="14" t="str">
        <f>"2020193410"</f>
        <v>2020193410</v>
      </c>
      <c r="E25" s="14" t="str">
        <f>"34"</f>
        <v>34</v>
      </c>
      <c r="F25" s="14" t="str">
        <f>"10"</f>
        <v>10</v>
      </c>
      <c r="G25" s="14">
        <v>73</v>
      </c>
      <c r="H25" s="14">
        <v>69</v>
      </c>
      <c r="I25" s="19">
        <f t="shared" si="0"/>
        <v>70.599999999999994</v>
      </c>
      <c r="J25" s="16">
        <v>79.400000000000006</v>
      </c>
      <c r="K25" s="16">
        <f t="shared" si="1"/>
        <v>76.760000000000005</v>
      </c>
      <c r="L25" s="20">
        <v>1</v>
      </c>
      <c r="M25" s="18"/>
    </row>
    <row r="26" spans="1:13" s="1" customFormat="1" ht="32.1" customHeight="1">
      <c r="A26" s="12">
        <v>24</v>
      </c>
      <c r="B26" s="12">
        <v>24</v>
      </c>
      <c r="C26" s="13" t="s">
        <v>25</v>
      </c>
      <c r="D26" s="14" t="str">
        <f>"2020193409"</f>
        <v>2020193409</v>
      </c>
      <c r="E26" s="14" t="str">
        <f>"34"</f>
        <v>34</v>
      </c>
      <c r="F26" s="14" t="str">
        <f>"09"</f>
        <v>09</v>
      </c>
      <c r="G26" s="14">
        <v>68</v>
      </c>
      <c r="H26" s="14">
        <v>61.5</v>
      </c>
      <c r="I26" s="19">
        <f t="shared" si="0"/>
        <v>64.099999999999994</v>
      </c>
      <c r="J26" s="16">
        <v>78.400000000000006</v>
      </c>
      <c r="K26" s="16">
        <f t="shared" si="1"/>
        <v>74.11</v>
      </c>
      <c r="L26" s="20">
        <v>1</v>
      </c>
      <c r="M26" s="18"/>
    </row>
    <row r="27" spans="1:13" s="1" customFormat="1" ht="32.1" customHeight="1">
      <c r="A27" s="12">
        <v>25</v>
      </c>
      <c r="B27" s="12">
        <v>25</v>
      </c>
      <c r="C27" s="13" t="s">
        <v>26</v>
      </c>
      <c r="D27" s="14" t="str">
        <f>"2020223725"</f>
        <v>2020223725</v>
      </c>
      <c r="E27" s="14" t="str">
        <f>"37"</f>
        <v>37</v>
      </c>
      <c r="F27" s="14" t="str">
        <f>"25"</f>
        <v>25</v>
      </c>
      <c r="G27" s="14">
        <v>54</v>
      </c>
      <c r="H27" s="14">
        <v>69</v>
      </c>
      <c r="I27" s="19">
        <f t="shared" si="0"/>
        <v>63</v>
      </c>
      <c r="J27" s="16">
        <v>80.2</v>
      </c>
      <c r="K27" s="16">
        <f t="shared" si="1"/>
        <v>75.040000000000006</v>
      </c>
      <c r="L27" s="20">
        <v>1</v>
      </c>
      <c r="M27" s="18"/>
    </row>
    <row r="28" spans="1:13" s="1" customFormat="1" ht="32.1" customHeight="1">
      <c r="A28" s="12">
        <v>26</v>
      </c>
      <c r="B28" s="12">
        <v>1</v>
      </c>
      <c r="C28" s="13" t="s">
        <v>27</v>
      </c>
      <c r="D28" s="14" t="str">
        <f>"2020013730"</f>
        <v>2020013730</v>
      </c>
      <c r="E28" s="14" t="str">
        <f>"37"</f>
        <v>37</v>
      </c>
      <c r="F28" s="14" t="str">
        <f>"30"</f>
        <v>30</v>
      </c>
      <c r="G28" s="14">
        <v>71</v>
      </c>
      <c r="H28" s="14">
        <v>76</v>
      </c>
      <c r="I28" s="19">
        <f t="shared" si="0"/>
        <v>74</v>
      </c>
      <c r="J28" s="16">
        <v>84</v>
      </c>
      <c r="K28" s="16">
        <f t="shared" si="1"/>
        <v>81</v>
      </c>
      <c r="L28" s="20">
        <v>2</v>
      </c>
      <c r="M28" s="18"/>
    </row>
    <row r="29" spans="1:13" s="1" customFormat="1" ht="32.1" customHeight="1">
      <c r="A29" s="12">
        <v>27</v>
      </c>
      <c r="B29" s="12">
        <v>2</v>
      </c>
      <c r="C29" s="13" t="s">
        <v>27</v>
      </c>
      <c r="D29" s="14" t="str">
        <f>"2020013728"</f>
        <v>2020013728</v>
      </c>
      <c r="E29" s="14" t="str">
        <f>"37"</f>
        <v>37</v>
      </c>
      <c r="F29" s="14" t="str">
        <f>"28"</f>
        <v>28</v>
      </c>
      <c r="G29" s="14">
        <v>82</v>
      </c>
      <c r="H29" s="14">
        <v>71</v>
      </c>
      <c r="I29" s="19">
        <f t="shared" si="0"/>
        <v>75.400000000000006</v>
      </c>
      <c r="J29" s="16">
        <v>80.599999999999994</v>
      </c>
      <c r="K29" s="16">
        <f t="shared" si="1"/>
        <v>79.040000000000006</v>
      </c>
      <c r="L29" s="20">
        <v>2</v>
      </c>
      <c r="M29" s="18"/>
    </row>
    <row r="30" spans="1:13" s="1" customFormat="1" ht="32.1" customHeight="1">
      <c r="A30" s="12">
        <v>28</v>
      </c>
      <c r="B30" s="12">
        <v>3</v>
      </c>
      <c r="C30" s="13" t="s">
        <v>28</v>
      </c>
      <c r="D30" s="14" t="str">
        <f>"2020033820"</f>
        <v>2020033820</v>
      </c>
      <c r="E30" s="14" t="str">
        <f>"38"</f>
        <v>38</v>
      </c>
      <c r="F30" s="14" t="str">
        <f>"20"</f>
        <v>20</v>
      </c>
      <c r="G30" s="14">
        <v>73</v>
      </c>
      <c r="H30" s="14">
        <v>72</v>
      </c>
      <c r="I30" s="19">
        <f t="shared" si="0"/>
        <v>72.400000000000006</v>
      </c>
      <c r="J30" s="16">
        <v>84</v>
      </c>
      <c r="K30" s="16">
        <f t="shared" si="1"/>
        <v>80.52</v>
      </c>
      <c r="L30" s="20">
        <v>2</v>
      </c>
      <c r="M30" s="18"/>
    </row>
    <row r="31" spans="1:13" s="1" customFormat="1" ht="32.1" customHeight="1">
      <c r="A31" s="12">
        <v>29</v>
      </c>
      <c r="B31" s="12">
        <v>4</v>
      </c>
      <c r="C31" s="13" t="s">
        <v>28</v>
      </c>
      <c r="D31" s="14" t="str">
        <f>"2020033817"</f>
        <v>2020033817</v>
      </c>
      <c r="E31" s="14" t="str">
        <f>"38"</f>
        <v>38</v>
      </c>
      <c r="F31" s="14" t="str">
        <f>"17"</f>
        <v>17</v>
      </c>
      <c r="G31" s="14">
        <v>65</v>
      </c>
      <c r="H31" s="14">
        <v>75</v>
      </c>
      <c r="I31" s="19">
        <f t="shared" si="0"/>
        <v>71</v>
      </c>
      <c r="J31" s="16">
        <v>83.4</v>
      </c>
      <c r="K31" s="16">
        <f t="shared" si="1"/>
        <v>79.680000000000007</v>
      </c>
      <c r="L31" s="20">
        <v>2</v>
      </c>
      <c r="M31" s="18"/>
    </row>
    <row r="32" spans="1:13" s="1" customFormat="1" ht="32.1" customHeight="1">
      <c r="A32" s="12">
        <v>30</v>
      </c>
      <c r="B32" s="12">
        <v>5</v>
      </c>
      <c r="C32" s="13" t="s">
        <v>28</v>
      </c>
      <c r="D32" s="14" t="str">
        <f>"2020033815"</f>
        <v>2020033815</v>
      </c>
      <c r="E32" s="14" t="str">
        <f>"38"</f>
        <v>38</v>
      </c>
      <c r="F32" s="14" t="str">
        <f>"15"</f>
        <v>15</v>
      </c>
      <c r="G32" s="14">
        <v>78</v>
      </c>
      <c r="H32" s="14">
        <v>74</v>
      </c>
      <c r="I32" s="19">
        <f t="shared" si="0"/>
        <v>75.599999999999994</v>
      </c>
      <c r="J32" s="16">
        <v>81.400000000000006</v>
      </c>
      <c r="K32" s="16">
        <f t="shared" si="1"/>
        <v>79.66</v>
      </c>
      <c r="L32" s="20">
        <v>2</v>
      </c>
      <c r="M32" s="18"/>
    </row>
    <row r="33" spans="1:13" s="1" customFormat="1" ht="32.1" customHeight="1">
      <c r="A33" s="12">
        <v>31</v>
      </c>
      <c r="B33" s="12">
        <v>6</v>
      </c>
      <c r="C33" s="13" t="s">
        <v>28</v>
      </c>
      <c r="D33" s="14" t="str">
        <f>"2020033809"</f>
        <v>2020033809</v>
      </c>
      <c r="E33" s="14" t="str">
        <f>"38"</f>
        <v>38</v>
      </c>
      <c r="F33" s="14" t="str">
        <f>"09"</f>
        <v>09</v>
      </c>
      <c r="G33" s="14">
        <v>75</v>
      </c>
      <c r="H33" s="14">
        <v>71</v>
      </c>
      <c r="I33" s="19">
        <f t="shared" si="0"/>
        <v>72.599999999999994</v>
      </c>
      <c r="J33" s="16">
        <v>75.2</v>
      </c>
      <c r="K33" s="16">
        <f t="shared" si="1"/>
        <v>74.42</v>
      </c>
      <c r="L33" s="20">
        <v>2</v>
      </c>
      <c r="M33" s="18"/>
    </row>
    <row r="34" spans="1:13" s="1" customFormat="1" ht="32.1" customHeight="1">
      <c r="A34" s="12">
        <v>32</v>
      </c>
      <c r="B34" s="12">
        <v>7</v>
      </c>
      <c r="C34" s="13" t="s">
        <v>29</v>
      </c>
      <c r="D34" s="14" t="str">
        <f>"2020053826"</f>
        <v>2020053826</v>
      </c>
      <c r="E34" s="14" t="str">
        <f>"38"</f>
        <v>38</v>
      </c>
      <c r="F34" s="14" t="str">
        <f>"26"</f>
        <v>26</v>
      </c>
      <c r="G34" s="14">
        <v>69</v>
      </c>
      <c r="H34" s="14">
        <v>79</v>
      </c>
      <c r="I34" s="19">
        <f t="shared" si="0"/>
        <v>75</v>
      </c>
      <c r="J34" s="16">
        <v>82.4</v>
      </c>
      <c r="K34" s="16">
        <f t="shared" si="1"/>
        <v>80.180000000000007</v>
      </c>
      <c r="L34" s="20">
        <v>2</v>
      </c>
      <c r="M34" s="18"/>
    </row>
    <row r="35" spans="1:13" s="1" customFormat="1" ht="32.1" customHeight="1">
      <c r="A35" s="12">
        <v>33</v>
      </c>
      <c r="B35" s="12">
        <v>8</v>
      </c>
      <c r="C35" s="13" t="s">
        <v>30</v>
      </c>
      <c r="D35" s="14" t="str">
        <f>"2020073627"</f>
        <v>2020073627</v>
      </c>
      <c r="E35" s="14" t="str">
        <f>"36"</f>
        <v>36</v>
      </c>
      <c r="F35" s="14" t="str">
        <f>"27"</f>
        <v>27</v>
      </c>
      <c r="G35" s="14">
        <v>65</v>
      </c>
      <c r="H35" s="14">
        <v>92</v>
      </c>
      <c r="I35" s="19">
        <f t="shared" si="0"/>
        <v>81.2</v>
      </c>
      <c r="J35" s="16">
        <v>85.4</v>
      </c>
      <c r="K35" s="16">
        <f t="shared" si="1"/>
        <v>84.14</v>
      </c>
      <c r="L35" s="20">
        <v>2</v>
      </c>
      <c r="M35" s="18"/>
    </row>
    <row r="36" spans="1:13" s="1" customFormat="1" ht="32.1" customHeight="1">
      <c r="A36" s="12">
        <v>34</v>
      </c>
      <c r="B36" s="12">
        <v>9</v>
      </c>
      <c r="C36" s="13" t="s">
        <v>30</v>
      </c>
      <c r="D36" s="14" t="str">
        <f>"2020073625"</f>
        <v>2020073625</v>
      </c>
      <c r="E36" s="14" t="str">
        <f>"36"</f>
        <v>36</v>
      </c>
      <c r="F36" s="14" t="str">
        <f>"25"</f>
        <v>25</v>
      </c>
      <c r="G36" s="14">
        <v>73</v>
      </c>
      <c r="H36" s="14">
        <v>90</v>
      </c>
      <c r="I36" s="19">
        <f t="shared" si="0"/>
        <v>83.2</v>
      </c>
      <c r="J36" s="16">
        <v>83.6</v>
      </c>
      <c r="K36" s="16">
        <f t="shared" si="1"/>
        <v>83.48</v>
      </c>
      <c r="L36" s="20">
        <v>2</v>
      </c>
      <c r="M36" s="18"/>
    </row>
    <row r="37" spans="1:13" s="1" customFormat="1" ht="32.1" customHeight="1">
      <c r="A37" s="12">
        <v>35</v>
      </c>
      <c r="B37" s="12">
        <v>10</v>
      </c>
      <c r="C37" s="13" t="s">
        <v>31</v>
      </c>
      <c r="D37" s="14" t="str">
        <f>"2020093610"</f>
        <v>2020093610</v>
      </c>
      <c r="E37" s="14" t="str">
        <f>"36"</f>
        <v>36</v>
      </c>
      <c r="F37" s="14" t="str">
        <f>"10"</f>
        <v>10</v>
      </c>
      <c r="G37" s="14">
        <v>75</v>
      </c>
      <c r="H37" s="14">
        <v>77</v>
      </c>
      <c r="I37" s="19">
        <f t="shared" si="0"/>
        <v>76.2</v>
      </c>
      <c r="J37" s="16">
        <v>82.6</v>
      </c>
      <c r="K37" s="16">
        <f t="shared" si="1"/>
        <v>80.680000000000007</v>
      </c>
      <c r="L37" s="20">
        <v>2</v>
      </c>
      <c r="M37" s="18"/>
    </row>
    <row r="38" spans="1:13" s="1" customFormat="1" ht="32.1" customHeight="1">
      <c r="A38" s="12">
        <v>36</v>
      </c>
      <c r="B38" s="12">
        <v>11</v>
      </c>
      <c r="C38" s="13" t="s">
        <v>17</v>
      </c>
      <c r="D38" s="14" t="str">
        <f>"2020110904"</f>
        <v>2020110904</v>
      </c>
      <c r="E38" s="14" t="str">
        <f>"09"</f>
        <v>09</v>
      </c>
      <c r="F38" s="14" t="str">
        <f>"04"</f>
        <v>04</v>
      </c>
      <c r="G38" s="14">
        <v>72</v>
      </c>
      <c r="H38" s="14">
        <v>78</v>
      </c>
      <c r="I38" s="19">
        <f t="shared" si="0"/>
        <v>75.599999999999994</v>
      </c>
      <c r="J38" s="16">
        <v>86.8</v>
      </c>
      <c r="K38" s="16">
        <f t="shared" si="1"/>
        <v>83.44</v>
      </c>
      <c r="L38" s="20">
        <v>2</v>
      </c>
      <c r="M38" s="18"/>
    </row>
    <row r="39" spans="1:13" s="1" customFormat="1" ht="32.1" customHeight="1">
      <c r="A39" s="12">
        <v>37</v>
      </c>
      <c r="B39" s="12">
        <v>12</v>
      </c>
      <c r="C39" s="13" t="s">
        <v>17</v>
      </c>
      <c r="D39" s="14" t="str">
        <f>"2020110821"</f>
        <v>2020110821</v>
      </c>
      <c r="E39" s="14" t="str">
        <f>"08"</f>
        <v>08</v>
      </c>
      <c r="F39" s="14" t="str">
        <f>"21"</f>
        <v>21</v>
      </c>
      <c r="G39" s="14">
        <v>82</v>
      </c>
      <c r="H39" s="14">
        <v>70</v>
      </c>
      <c r="I39" s="19">
        <f t="shared" si="0"/>
        <v>74.8</v>
      </c>
      <c r="J39" s="16">
        <v>84.2</v>
      </c>
      <c r="K39" s="16">
        <f t="shared" si="1"/>
        <v>81.38</v>
      </c>
      <c r="L39" s="20">
        <v>2</v>
      </c>
      <c r="M39" s="18"/>
    </row>
    <row r="40" spans="1:13" s="1" customFormat="1" ht="32.1" customHeight="1">
      <c r="A40" s="12">
        <v>38</v>
      </c>
      <c r="B40" s="12">
        <v>13</v>
      </c>
      <c r="C40" s="13" t="s">
        <v>17</v>
      </c>
      <c r="D40" s="14" t="str">
        <f>"2020110823"</f>
        <v>2020110823</v>
      </c>
      <c r="E40" s="14" t="str">
        <f>"08"</f>
        <v>08</v>
      </c>
      <c r="F40" s="14" t="str">
        <f>"23"</f>
        <v>23</v>
      </c>
      <c r="G40" s="14">
        <v>74</v>
      </c>
      <c r="H40" s="14">
        <v>76</v>
      </c>
      <c r="I40" s="19">
        <f t="shared" si="0"/>
        <v>75.2</v>
      </c>
      <c r="J40" s="16">
        <v>83.2</v>
      </c>
      <c r="K40" s="16">
        <f t="shared" si="1"/>
        <v>80.8</v>
      </c>
      <c r="L40" s="20">
        <v>2</v>
      </c>
      <c r="M40" s="18"/>
    </row>
    <row r="41" spans="1:13" s="1" customFormat="1" ht="32.1" customHeight="1">
      <c r="A41" s="12">
        <v>39</v>
      </c>
      <c r="B41" s="12">
        <v>14</v>
      </c>
      <c r="C41" s="13" t="s">
        <v>17</v>
      </c>
      <c r="D41" s="14" t="str">
        <f>"2020110710"</f>
        <v>2020110710</v>
      </c>
      <c r="E41" s="14" t="str">
        <f>"07"</f>
        <v>07</v>
      </c>
      <c r="F41" s="14" t="str">
        <f>"10"</f>
        <v>10</v>
      </c>
      <c r="G41" s="14">
        <v>81</v>
      </c>
      <c r="H41" s="14">
        <v>75</v>
      </c>
      <c r="I41" s="19">
        <f t="shared" si="0"/>
        <v>77.400000000000006</v>
      </c>
      <c r="J41" s="16">
        <v>81.400000000000006</v>
      </c>
      <c r="K41" s="16">
        <f t="shared" si="1"/>
        <v>80.2</v>
      </c>
      <c r="L41" s="20">
        <v>2</v>
      </c>
      <c r="M41" s="18"/>
    </row>
    <row r="42" spans="1:13" s="1" customFormat="1" ht="32.1" customHeight="1">
      <c r="A42" s="12">
        <v>40</v>
      </c>
      <c r="B42" s="12">
        <v>15</v>
      </c>
      <c r="C42" s="13" t="s">
        <v>17</v>
      </c>
      <c r="D42" s="14" t="str">
        <f>"2020110810"</f>
        <v>2020110810</v>
      </c>
      <c r="E42" s="14" t="str">
        <f>"08"</f>
        <v>08</v>
      </c>
      <c r="F42" s="14" t="str">
        <f>"10"</f>
        <v>10</v>
      </c>
      <c r="G42" s="14">
        <v>82</v>
      </c>
      <c r="H42" s="14">
        <v>67</v>
      </c>
      <c r="I42" s="19">
        <f t="shared" si="0"/>
        <v>73</v>
      </c>
      <c r="J42" s="16">
        <v>82</v>
      </c>
      <c r="K42" s="16">
        <f t="shared" si="1"/>
        <v>79.3</v>
      </c>
      <c r="L42" s="20">
        <v>2</v>
      </c>
      <c r="M42" s="18"/>
    </row>
    <row r="43" spans="1:13" s="1" customFormat="1" ht="32.1" customHeight="1">
      <c r="A43" s="12">
        <v>41</v>
      </c>
      <c r="B43" s="12">
        <v>16</v>
      </c>
      <c r="C43" s="13" t="s">
        <v>17</v>
      </c>
      <c r="D43" s="14" t="str">
        <f>"2020110814"</f>
        <v>2020110814</v>
      </c>
      <c r="E43" s="14" t="str">
        <f>"08"</f>
        <v>08</v>
      </c>
      <c r="F43" s="14" t="str">
        <f>"14"</f>
        <v>14</v>
      </c>
      <c r="G43" s="14">
        <v>78</v>
      </c>
      <c r="H43" s="14">
        <v>59</v>
      </c>
      <c r="I43" s="19">
        <f t="shared" si="0"/>
        <v>66.599999999999994</v>
      </c>
      <c r="J43" s="16">
        <v>84.4</v>
      </c>
      <c r="K43" s="16">
        <f t="shared" si="1"/>
        <v>79.06</v>
      </c>
      <c r="L43" s="20">
        <v>2</v>
      </c>
      <c r="M43" s="18"/>
    </row>
    <row r="44" spans="1:13" s="1" customFormat="1" ht="32.1" customHeight="1">
      <c r="A44" s="12">
        <v>42</v>
      </c>
      <c r="B44" s="12">
        <v>17</v>
      </c>
      <c r="C44" s="13" t="s">
        <v>17</v>
      </c>
      <c r="D44" s="14" t="str">
        <f>"2020110807"</f>
        <v>2020110807</v>
      </c>
      <c r="E44" s="14" t="str">
        <f>"08"</f>
        <v>08</v>
      </c>
      <c r="F44" s="14" t="str">
        <f>"07"</f>
        <v>07</v>
      </c>
      <c r="G44" s="14">
        <v>68</v>
      </c>
      <c r="H44" s="14">
        <v>65</v>
      </c>
      <c r="I44" s="19">
        <f t="shared" si="0"/>
        <v>66.2</v>
      </c>
      <c r="J44" s="16">
        <v>84</v>
      </c>
      <c r="K44" s="16">
        <f t="shared" si="1"/>
        <v>78.66</v>
      </c>
      <c r="L44" s="20">
        <v>2</v>
      </c>
      <c r="M44" s="18"/>
    </row>
    <row r="45" spans="1:13" s="1" customFormat="1" ht="32.1" customHeight="1">
      <c r="A45" s="12">
        <v>43</v>
      </c>
      <c r="B45" s="12">
        <v>18</v>
      </c>
      <c r="C45" s="13" t="s">
        <v>17</v>
      </c>
      <c r="D45" s="14" t="str">
        <f>"2020110820"</f>
        <v>2020110820</v>
      </c>
      <c r="E45" s="14" t="str">
        <f>"08"</f>
        <v>08</v>
      </c>
      <c r="F45" s="14" t="str">
        <f>"20"</f>
        <v>20</v>
      </c>
      <c r="G45" s="14">
        <v>80</v>
      </c>
      <c r="H45" s="14">
        <v>76</v>
      </c>
      <c r="I45" s="19">
        <f t="shared" si="0"/>
        <v>77.599999999999994</v>
      </c>
      <c r="J45" s="16">
        <v>78.599999999999994</v>
      </c>
      <c r="K45" s="16">
        <f t="shared" si="1"/>
        <v>78.3</v>
      </c>
      <c r="L45" s="20">
        <v>2</v>
      </c>
      <c r="M45" s="18"/>
    </row>
    <row r="46" spans="1:13" s="1" customFormat="1" ht="32.1" customHeight="1">
      <c r="A46" s="12">
        <v>44</v>
      </c>
      <c r="B46" s="12">
        <v>19</v>
      </c>
      <c r="C46" s="13" t="s">
        <v>17</v>
      </c>
      <c r="D46" s="14" t="str">
        <f>"2020110914"</f>
        <v>2020110914</v>
      </c>
      <c r="E46" s="14" t="str">
        <f>"09"</f>
        <v>09</v>
      </c>
      <c r="F46" s="14" t="str">
        <f>"14"</f>
        <v>14</v>
      </c>
      <c r="G46" s="14">
        <v>72</v>
      </c>
      <c r="H46" s="14">
        <v>68</v>
      </c>
      <c r="I46" s="19">
        <f t="shared" si="0"/>
        <v>69.599999999999994</v>
      </c>
      <c r="J46" s="16">
        <v>81.8</v>
      </c>
      <c r="K46" s="16">
        <f t="shared" si="1"/>
        <v>78.14</v>
      </c>
      <c r="L46" s="20">
        <v>2</v>
      </c>
      <c r="M46" s="18"/>
    </row>
    <row r="47" spans="1:13" s="1" customFormat="1" ht="32.1" customHeight="1">
      <c r="A47" s="12">
        <v>45</v>
      </c>
      <c r="B47" s="12">
        <v>20</v>
      </c>
      <c r="C47" s="13" t="s">
        <v>17</v>
      </c>
      <c r="D47" s="14" t="str">
        <f>"2020110703"</f>
        <v>2020110703</v>
      </c>
      <c r="E47" s="14" t="str">
        <f>"07"</f>
        <v>07</v>
      </c>
      <c r="F47" s="14" t="str">
        <f>"03"</f>
        <v>03</v>
      </c>
      <c r="G47" s="14">
        <v>76</v>
      </c>
      <c r="H47" s="14">
        <v>63</v>
      </c>
      <c r="I47" s="19">
        <f t="shared" si="0"/>
        <v>68.2</v>
      </c>
      <c r="J47" s="16">
        <v>80.8</v>
      </c>
      <c r="K47" s="16">
        <f t="shared" si="1"/>
        <v>77.02</v>
      </c>
      <c r="L47" s="20">
        <v>2</v>
      </c>
      <c r="M47" s="18"/>
    </row>
    <row r="48" spans="1:13" s="1" customFormat="1" ht="32.1" customHeight="1">
      <c r="A48" s="12">
        <v>46</v>
      </c>
      <c r="B48" s="12">
        <v>21</v>
      </c>
      <c r="C48" s="13" t="s">
        <v>17</v>
      </c>
      <c r="D48" s="14" t="str">
        <f>"2020111021"</f>
        <v>2020111021</v>
      </c>
      <c r="E48" s="14" t="str">
        <f>"10"</f>
        <v>10</v>
      </c>
      <c r="F48" s="14" t="str">
        <f>"21"</f>
        <v>21</v>
      </c>
      <c r="G48" s="14">
        <v>84</v>
      </c>
      <c r="H48" s="14">
        <v>73</v>
      </c>
      <c r="I48" s="19">
        <f t="shared" si="0"/>
        <v>77.400000000000006</v>
      </c>
      <c r="J48" s="16">
        <v>76.400000000000006</v>
      </c>
      <c r="K48" s="16">
        <f t="shared" si="1"/>
        <v>76.7</v>
      </c>
      <c r="L48" s="20">
        <v>2</v>
      </c>
      <c r="M48" s="18"/>
    </row>
    <row r="49" spans="1:13" s="1" customFormat="1" ht="32.1" customHeight="1">
      <c r="A49" s="12">
        <v>47</v>
      </c>
      <c r="B49" s="12">
        <v>22</v>
      </c>
      <c r="C49" s="13" t="s">
        <v>17</v>
      </c>
      <c r="D49" s="14" t="str">
        <f>"2020110702"</f>
        <v>2020110702</v>
      </c>
      <c r="E49" s="14" t="str">
        <f>"07"</f>
        <v>07</v>
      </c>
      <c r="F49" s="14" t="str">
        <f>"02"</f>
        <v>02</v>
      </c>
      <c r="G49" s="14">
        <v>78</v>
      </c>
      <c r="H49" s="14">
        <v>73</v>
      </c>
      <c r="I49" s="19">
        <f t="shared" si="0"/>
        <v>75</v>
      </c>
      <c r="J49" s="16">
        <v>77.2</v>
      </c>
      <c r="K49" s="16">
        <f t="shared" si="1"/>
        <v>76.540000000000006</v>
      </c>
      <c r="L49" s="20">
        <v>2</v>
      </c>
      <c r="M49" s="18"/>
    </row>
    <row r="50" spans="1:13" s="1" customFormat="1" ht="32.1" customHeight="1">
      <c r="A50" s="12">
        <v>48</v>
      </c>
      <c r="B50" s="12">
        <v>1</v>
      </c>
      <c r="C50" s="13" t="s">
        <v>17</v>
      </c>
      <c r="D50" s="14" t="str">
        <f>"2020110811"</f>
        <v>2020110811</v>
      </c>
      <c r="E50" s="14" t="str">
        <f>"08"</f>
        <v>08</v>
      </c>
      <c r="F50" s="14" t="str">
        <f>"11"</f>
        <v>11</v>
      </c>
      <c r="G50" s="14">
        <v>69</v>
      </c>
      <c r="H50" s="14">
        <v>65</v>
      </c>
      <c r="I50" s="19">
        <f t="shared" si="0"/>
        <v>66.599999999999994</v>
      </c>
      <c r="J50" s="16">
        <v>80</v>
      </c>
      <c r="K50" s="16">
        <f t="shared" si="1"/>
        <v>75.98</v>
      </c>
      <c r="L50" s="20">
        <v>3</v>
      </c>
      <c r="M50" s="18"/>
    </row>
    <row r="51" spans="1:13" s="1" customFormat="1" ht="32.1" customHeight="1">
      <c r="A51" s="12">
        <v>49</v>
      </c>
      <c r="B51" s="12">
        <v>2</v>
      </c>
      <c r="C51" s="13" t="s">
        <v>18</v>
      </c>
      <c r="D51" s="14" t="str">
        <f>"2020121528"</f>
        <v>2020121528</v>
      </c>
      <c r="E51" s="14" t="str">
        <f>"15"</f>
        <v>15</v>
      </c>
      <c r="F51" s="14" t="str">
        <f>"28"</f>
        <v>28</v>
      </c>
      <c r="G51" s="14">
        <v>84</v>
      </c>
      <c r="H51" s="14">
        <v>72</v>
      </c>
      <c r="I51" s="19">
        <f t="shared" si="0"/>
        <v>76.8</v>
      </c>
      <c r="J51" s="16">
        <v>83.8</v>
      </c>
      <c r="K51" s="16">
        <f t="shared" si="1"/>
        <v>81.7</v>
      </c>
      <c r="L51" s="20">
        <v>3</v>
      </c>
      <c r="M51" s="18"/>
    </row>
    <row r="52" spans="1:13" s="1" customFormat="1" ht="32.1" customHeight="1">
      <c r="A52" s="12">
        <v>50</v>
      </c>
      <c r="B52" s="12">
        <v>3</v>
      </c>
      <c r="C52" s="13" t="s">
        <v>18</v>
      </c>
      <c r="D52" s="14" t="str">
        <f>"2020121524"</f>
        <v>2020121524</v>
      </c>
      <c r="E52" s="14" t="str">
        <f>"15"</f>
        <v>15</v>
      </c>
      <c r="F52" s="14" t="str">
        <f>"24"</f>
        <v>24</v>
      </c>
      <c r="G52" s="14">
        <v>86</v>
      </c>
      <c r="H52" s="14">
        <v>80</v>
      </c>
      <c r="I52" s="19">
        <f t="shared" si="0"/>
        <v>82.4</v>
      </c>
      <c r="J52" s="16">
        <v>81.2</v>
      </c>
      <c r="K52" s="16">
        <f t="shared" si="1"/>
        <v>81.56</v>
      </c>
      <c r="L52" s="20">
        <v>3</v>
      </c>
      <c r="M52" s="18"/>
    </row>
    <row r="53" spans="1:13" s="1" customFormat="1" ht="32.1" customHeight="1">
      <c r="A53" s="12">
        <v>51</v>
      </c>
      <c r="B53" s="12">
        <v>4</v>
      </c>
      <c r="C53" s="13" t="s">
        <v>18</v>
      </c>
      <c r="D53" s="14" t="str">
        <f>"2020121308"</f>
        <v>2020121308</v>
      </c>
      <c r="E53" s="14" t="str">
        <f>"13"</f>
        <v>13</v>
      </c>
      <c r="F53" s="14" t="str">
        <f>"08"</f>
        <v>08</v>
      </c>
      <c r="G53" s="14">
        <v>88</v>
      </c>
      <c r="H53" s="14">
        <v>84</v>
      </c>
      <c r="I53" s="19">
        <f t="shared" si="0"/>
        <v>85.6</v>
      </c>
      <c r="J53" s="16">
        <v>79.8</v>
      </c>
      <c r="K53" s="16">
        <f t="shared" si="1"/>
        <v>81.540000000000006</v>
      </c>
      <c r="L53" s="20">
        <v>3</v>
      </c>
      <c r="M53" s="18"/>
    </row>
    <row r="54" spans="1:13" s="1" customFormat="1" ht="32.1" customHeight="1">
      <c r="A54" s="12">
        <v>52</v>
      </c>
      <c r="B54" s="12">
        <v>5</v>
      </c>
      <c r="C54" s="13" t="s">
        <v>18</v>
      </c>
      <c r="D54" s="14" t="str">
        <f>"2020121310"</f>
        <v>2020121310</v>
      </c>
      <c r="E54" s="14" t="str">
        <f>"13"</f>
        <v>13</v>
      </c>
      <c r="F54" s="14" t="str">
        <f>"10"</f>
        <v>10</v>
      </c>
      <c r="G54" s="14">
        <v>81</v>
      </c>
      <c r="H54" s="14">
        <v>84</v>
      </c>
      <c r="I54" s="19">
        <f t="shared" si="0"/>
        <v>82.8</v>
      </c>
      <c r="J54" s="16">
        <v>80.599999999999994</v>
      </c>
      <c r="K54" s="16">
        <f t="shared" si="1"/>
        <v>81.260000000000005</v>
      </c>
      <c r="L54" s="20">
        <v>3</v>
      </c>
      <c r="M54" s="18"/>
    </row>
    <row r="55" spans="1:13" s="1" customFormat="1" ht="32.1" customHeight="1">
      <c r="A55" s="12">
        <v>53</v>
      </c>
      <c r="B55" s="12">
        <v>6</v>
      </c>
      <c r="C55" s="13" t="s">
        <v>18</v>
      </c>
      <c r="D55" s="14" t="str">
        <f>"2020121216"</f>
        <v>2020121216</v>
      </c>
      <c r="E55" s="14" t="str">
        <f>"12"</f>
        <v>12</v>
      </c>
      <c r="F55" s="14" t="str">
        <f>"16"</f>
        <v>16</v>
      </c>
      <c r="G55" s="14">
        <v>82</v>
      </c>
      <c r="H55" s="14">
        <v>69</v>
      </c>
      <c r="I55" s="19">
        <f t="shared" si="0"/>
        <v>74.2</v>
      </c>
      <c r="J55" s="16">
        <v>82.6</v>
      </c>
      <c r="K55" s="16">
        <f t="shared" si="1"/>
        <v>80.08</v>
      </c>
      <c r="L55" s="20">
        <v>3</v>
      </c>
      <c r="M55" s="18"/>
    </row>
    <row r="56" spans="1:13" s="1" customFormat="1" ht="32.1" customHeight="1">
      <c r="A56" s="12">
        <v>54</v>
      </c>
      <c r="B56" s="12">
        <v>7</v>
      </c>
      <c r="C56" s="13" t="s">
        <v>18</v>
      </c>
      <c r="D56" s="14" t="str">
        <f>"2020121406"</f>
        <v>2020121406</v>
      </c>
      <c r="E56" s="14" t="str">
        <f>"14"</f>
        <v>14</v>
      </c>
      <c r="F56" s="14" t="str">
        <f>"06"</f>
        <v>06</v>
      </c>
      <c r="G56" s="14">
        <v>90</v>
      </c>
      <c r="H56" s="14">
        <v>72</v>
      </c>
      <c r="I56" s="19">
        <f t="shared" si="0"/>
        <v>79.2</v>
      </c>
      <c r="J56" s="16">
        <v>80.2</v>
      </c>
      <c r="K56" s="16">
        <f t="shared" si="1"/>
        <v>79.900000000000006</v>
      </c>
      <c r="L56" s="20">
        <v>3</v>
      </c>
      <c r="M56" s="18"/>
    </row>
    <row r="57" spans="1:13" s="1" customFormat="1" ht="32.1" customHeight="1">
      <c r="A57" s="12">
        <v>55</v>
      </c>
      <c r="B57" s="12">
        <v>8</v>
      </c>
      <c r="C57" s="13" t="s">
        <v>18</v>
      </c>
      <c r="D57" s="14" t="str">
        <f>"2020121123"</f>
        <v>2020121123</v>
      </c>
      <c r="E57" s="14" t="str">
        <f>"11"</f>
        <v>11</v>
      </c>
      <c r="F57" s="14" t="str">
        <f>"23"</f>
        <v>23</v>
      </c>
      <c r="G57" s="14">
        <v>75</v>
      </c>
      <c r="H57" s="14">
        <v>75</v>
      </c>
      <c r="I57" s="19">
        <f t="shared" si="0"/>
        <v>75</v>
      </c>
      <c r="J57" s="16">
        <v>81</v>
      </c>
      <c r="K57" s="16">
        <f t="shared" si="1"/>
        <v>79.2</v>
      </c>
      <c r="L57" s="20">
        <v>3</v>
      </c>
      <c r="M57" s="18"/>
    </row>
    <row r="58" spans="1:13" s="1" customFormat="1" ht="32.1" customHeight="1">
      <c r="A58" s="12">
        <v>56</v>
      </c>
      <c r="B58" s="12">
        <v>9</v>
      </c>
      <c r="C58" s="13" t="s">
        <v>18</v>
      </c>
      <c r="D58" s="14" t="str">
        <f>"2020121419"</f>
        <v>2020121419</v>
      </c>
      <c r="E58" s="14" t="str">
        <f>"14"</f>
        <v>14</v>
      </c>
      <c r="F58" s="14" t="str">
        <f>"19"</f>
        <v>19</v>
      </c>
      <c r="G58" s="14">
        <v>89</v>
      </c>
      <c r="H58" s="14">
        <v>66</v>
      </c>
      <c r="I58" s="19">
        <f t="shared" si="0"/>
        <v>75.2</v>
      </c>
      <c r="J58" s="16">
        <v>80.8</v>
      </c>
      <c r="K58" s="16">
        <f t="shared" si="1"/>
        <v>79.12</v>
      </c>
      <c r="L58" s="20">
        <v>3</v>
      </c>
      <c r="M58" s="18"/>
    </row>
    <row r="59" spans="1:13" s="1" customFormat="1" ht="32.1" customHeight="1">
      <c r="A59" s="12">
        <v>57</v>
      </c>
      <c r="B59" s="12">
        <v>10</v>
      </c>
      <c r="C59" s="13" t="s">
        <v>18</v>
      </c>
      <c r="D59" s="14" t="str">
        <f>"2020121319"</f>
        <v>2020121319</v>
      </c>
      <c r="E59" s="14" t="str">
        <f>"13"</f>
        <v>13</v>
      </c>
      <c r="F59" s="14" t="str">
        <f>"19"</f>
        <v>19</v>
      </c>
      <c r="G59" s="14">
        <v>68</v>
      </c>
      <c r="H59" s="14">
        <v>79</v>
      </c>
      <c r="I59" s="19">
        <f t="shared" si="0"/>
        <v>74.599999999999994</v>
      </c>
      <c r="J59" s="16">
        <v>81</v>
      </c>
      <c r="K59" s="16">
        <f t="shared" si="1"/>
        <v>79.08</v>
      </c>
      <c r="L59" s="20">
        <v>3</v>
      </c>
      <c r="M59" s="18"/>
    </row>
    <row r="60" spans="1:13" s="1" customFormat="1" ht="32.1" customHeight="1">
      <c r="A60" s="12">
        <v>58</v>
      </c>
      <c r="B60" s="12">
        <v>11</v>
      </c>
      <c r="C60" s="13" t="s">
        <v>18</v>
      </c>
      <c r="D60" s="14" t="str">
        <f>"2020121120"</f>
        <v>2020121120</v>
      </c>
      <c r="E60" s="14" t="str">
        <f>"11"</f>
        <v>11</v>
      </c>
      <c r="F60" s="14" t="str">
        <f>"20"</f>
        <v>20</v>
      </c>
      <c r="G60" s="14">
        <v>78</v>
      </c>
      <c r="H60" s="14">
        <v>63</v>
      </c>
      <c r="I60" s="19">
        <f t="shared" si="0"/>
        <v>69</v>
      </c>
      <c r="J60" s="16">
        <v>82.8</v>
      </c>
      <c r="K60" s="16">
        <f t="shared" si="1"/>
        <v>78.66</v>
      </c>
      <c r="L60" s="20">
        <v>3</v>
      </c>
      <c r="M60" s="18"/>
    </row>
    <row r="61" spans="1:13" s="1" customFormat="1" ht="32.1" customHeight="1">
      <c r="A61" s="12">
        <v>59</v>
      </c>
      <c r="B61" s="12">
        <v>12</v>
      </c>
      <c r="C61" s="13" t="s">
        <v>18</v>
      </c>
      <c r="D61" s="14" t="str">
        <f>"2020121424"</f>
        <v>2020121424</v>
      </c>
      <c r="E61" s="14" t="str">
        <f>"14"</f>
        <v>14</v>
      </c>
      <c r="F61" s="14" t="str">
        <f>"24"</f>
        <v>24</v>
      </c>
      <c r="G61" s="14">
        <v>75</v>
      </c>
      <c r="H61" s="14">
        <v>72</v>
      </c>
      <c r="I61" s="19">
        <f t="shared" si="0"/>
        <v>73.2</v>
      </c>
      <c r="J61" s="16">
        <v>80.8</v>
      </c>
      <c r="K61" s="16">
        <f t="shared" si="1"/>
        <v>78.52</v>
      </c>
      <c r="L61" s="20">
        <v>3</v>
      </c>
      <c r="M61" s="18"/>
    </row>
    <row r="62" spans="1:13" s="1" customFormat="1" ht="32.1" customHeight="1">
      <c r="A62" s="12">
        <v>60</v>
      </c>
      <c r="B62" s="12">
        <v>13</v>
      </c>
      <c r="C62" s="13" t="s">
        <v>18</v>
      </c>
      <c r="D62" s="14" t="str">
        <f>"2020121212"</f>
        <v>2020121212</v>
      </c>
      <c r="E62" s="14" t="str">
        <f>"12"</f>
        <v>12</v>
      </c>
      <c r="F62" s="14" t="str">
        <f>"12"</f>
        <v>12</v>
      </c>
      <c r="G62" s="14">
        <v>63</v>
      </c>
      <c r="H62" s="14">
        <v>72</v>
      </c>
      <c r="I62" s="19">
        <f t="shared" si="0"/>
        <v>68.400000000000006</v>
      </c>
      <c r="J62" s="16">
        <v>82.2</v>
      </c>
      <c r="K62" s="16">
        <f t="shared" si="1"/>
        <v>78.06</v>
      </c>
      <c r="L62" s="20">
        <v>3</v>
      </c>
      <c r="M62" s="18"/>
    </row>
    <row r="63" spans="1:13" s="1" customFormat="1" ht="32.1" customHeight="1">
      <c r="A63" s="12">
        <v>61</v>
      </c>
      <c r="B63" s="12">
        <v>14</v>
      </c>
      <c r="C63" s="13" t="s">
        <v>18</v>
      </c>
      <c r="D63" s="14" t="str">
        <f>"2020121330"</f>
        <v>2020121330</v>
      </c>
      <c r="E63" s="14" t="str">
        <f>"13"</f>
        <v>13</v>
      </c>
      <c r="F63" s="14" t="str">
        <f>"30"</f>
        <v>30</v>
      </c>
      <c r="G63" s="14">
        <v>60</v>
      </c>
      <c r="H63" s="14">
        <v>73</v>
      </c>
      <c r="I63" s="19">
        <f t="shared" si="0"/>
        <v>67.8</v>
      </c>
      <c r="J63" s="16">
        <v>81</v>
      </c>
      <c r="K63" s="16">
        <f t="shared" si="1"/>
        <v>77.040000000000006</v>
      </c>
      <c r="L63" s="20">
        <v>3</v>
      </c>
      <c r="M63" s="18"/>
    </row>
    <row r="64" spans="1:13" s="1" customFormat="1" ht="32.1" customHeight="1">
      <c r="A64" s="12">
        <v>62</v>
      </c>
      <c r="B64" s="12">
        <v>15</v>
      </c>
      <c r="C64" s="13" t="s">
        <v>19</v>
      </c>
      <c r="D64" s="14" t="str">
        <f>"2020132015"</f>
        <v>2020132015</v>
      </c>
      <c r="E64" s="14" t="str">
        <f>"20"</f>
        <v>20</v>
      </c>
      <c r="F64" s="14" t="str">
        <f>"15"</f>
        <v>15</v>
      </c>
      <c r="G64" s="14">
        <v>81</v>
      </c>
      <c r="H64" s="14">
        <v>74</v>
      </c>
      <c r="I64" s="19">
        <f t="shared" si="0"/>
        <v>76.8</v>
      </c>
      <c r="J64" s="16">
        <v>82</v>
      </c>
      <c r="K64" s="16">
        <f t="shared" si="1"/>
        <v>80.44</v>
      </c>
      <c r="L64" s="20">
        <v>3</v>
      </c>
      <c r="M64" s="18"/>
    </row>
    <row r="65" spans="1:13" s="1" customFormat="1" ht="32.1" customHeight="1">
      <c r="A65" s="12">
        <v>63</v>
      </c>
      <c r="B65" s="12">
        <v>16</v>
      </c>
      <c r="C65" s="13" t="s">
        <v>19</v>
      </c>
      <c r="D65" s="14" t="str">
        <f>"2020131924"</f>
        <v>2020131924</v>
      </c>
      <c r="E65" s="14" t="str">
        <f>"19"</f>
        <v>19</v>
      </c>
      <c r="F65" s="14" t="str">
        <f>"24"</f>
        <v>24</v>
      </c>
      <c r="G65" s="14">
        <v>93</v>
      </c>
      <c r="H65" s="14">
        <v>77</v>
      </c>
      <c r="I65" s="19">
        <f t="shared" si="0"/>
        <v>83.4</v>
      </c>
      <c r="J65" s="16">
        <v>79</v>
      </c>
      <c r="K65" s="16">
        <f t="shared" si="1"/>
        <v>80.319999999999993</v>
      </c>
      <c r="L65" s="20">
        <v>3</v>
      </c>
      <c r="M65" s="18"/>
    </row>
    <row r="66" spans="1:13" s="1" customFormat="1" ht="32.1" customHeight="1">
      <c r="A66" s="12">
        <v>64</v>
      </c>
      <c r="B66" s="12">
        <v>17</v>
      </c>
      <c r="C66" s="13" t="s">
        <v>19</v>
      </c>
      <c r="D66" s="14" t="str">
        <f>"2020131623"</f>
        <v>2020131623</v>
      </c>
      <c r="E66" s="14" t="str">
        <f>"16"</f>
        <v>16</v>
      </c>
      <c r="F66" s="14" t="str">
        <f>"23"</f>
        <v>23</v>
      </c>
      <c r="G66" s="14">
        <v>85</v>
      </c>
      <c r="H66" s="14">
        <v>81</v>
      </c>
      <c r="I66" s="19">
        <f t="shared" si="0"/>
        <v>82.6</v>
      </c>
      <c r="J66" s="16">
        <v>79</v>
      </c>
      <c r="K66" s="16">
        <f t="shared" si="1"/>
        <v>80.08</v>
      </c>
      <c r="L66" s="20">
        <v>3</v>
      </c>
      <c r="M66" s="18"/>
    </row>
    <row r="67" spans="1:13" s="1" customFormat="1" ht="32.1" customHeight="1">
      <c r="A67" s="12">
        <v>65</v>
      </c>
      <c r="B67" s="12">
        <v>18</v>
      </c>
      <c r="C67" s="13" t="s">
        <v>19</v>
      </c>
      <c r="D67" s="14" t="str">
        <f>"2020131814"</f>
        <v>2020131814</v>
      </c>
      <c r="E67" s="14" t="str">
        <f>"18"</f>
        <v>18</v>
      </c>
      <c r="F67" s="14" t="str">
        <f>"14"</f>
        <v>14</v>
      </c>
      <c r="G67" s="14">
        <v>91</v>
      </c>
      <c r="H67" s="14">
        <v>77</v>
      </c>
      <c r="I67" s="19">
        <f t="shared" ref="I67:I130" si="2">G67*0.4+H67*0.6</f>
        <v>82.6</v>
      </c>
      <c r="J67" s="16">
        <v>77.8</v>
      </c>
      <c r="K67" s="16">
        <f t="shared" ref="K67:K130" si="3">I67*0.3+J67*0.7</f>
        <v>79.239999999999995</v>
      </c>
      <c r="L67" s="20">
        <v>3</v>
      </c>
      <c r="M67" s="18"/>
    </row>
    <row r="68" spans="1:13" s="1" customFormat="1" ht="32.1" customHeight="1">
      <c r="A68" s="12">
        <v>66</v>
      </c>
      <c r="B68" s="12">
        <v>19</v>
      </c>
      <c r="C68" s="13" t="s">
        <v>19</v>
      </c>
      <c r="D68" s="14" t="str">
        <f>"2020131726"</f>
        <v>2020131726</v>
      </c>
      <c r="E68" s="14" t="str">
        <f>"17"</f>
        <v>17</v>
      </c>
      <c r="F68" s="14" t="str">
        <f>"26"</f>
        <v>26</v>
      </c>
      <c r="G68" s="14">
        <v>83</v>
      </c>
      <c r="H68" s="14">
        <v>81</v>
      </c>
      <c r="I68" s="19">
        <f t="shared" si="2"/>
        <v>81.8</v>
      </c>
      <c r="J68" s="16">
        <v>77.599999999999994</v>
      </c>
      <c r="K68" s="16">
        <f t="shared" si="3"/>
        <v>78.86</v>
      </c>
      <c r="L68" s="20">
        <v>3</v>
      </c>
      <c r="M68" s="18"/>
    </row>
    <row r="69" spans="1:13" s="1" customFormat="1" ht="32.1" customHeight="1">
      <c r="A69" s="12">
        <v>67</v>
      </c>
      <c r="B69" s="12">
        <v>20</v>
      </c>
      <c r="C69" s="13" t="s">
        <v>19</v>
      </c>
      <c r="D69" s="14" t="str">
        <f>"2020131711"</f>
        <v>2020131711</v>
      </c>
      <c r="E69" s="14" t="str">
        <f>"17"</f>
        <v>17</v>
      </c>
      <c r="F69" s="14" t="str">
        <f>"11"</f>
        <v>11</v>
      </c>
      <c r="G69" s="14">
        <v>90</v>
      </c>
      <c r="H69" s="14">
        <v>78</v>
      </c>
      <c r="I69" s="19">
        <f t="shared" si="2"/>
        <v>82.8</v>
      </c>
      <c r="J69" s="16">
        <v>76.8</v>
      </c>
      <c r="K69" s="16">
        <f t="shared" si="3"/>
        <v>78.599999999999994</v>
      </c>
      <c r="L69" s="20">
        <v>3</v>
      </c>
      <c r="M69" s="18"/>
    </row>
    <row r="70" spans="1:13" s="1" customFormat="1" ht="32.1" customHeight="1">
      <c r="A70" s="12">
        <v>68</v>
      </c>
      <c r="B70" s="12">
        <v>21</v>
      </c>
      <c r="C70" s="13" t="s">
        <v>19</v>
      </c>
      <c r="D70" s="14" t="str">
        <f>"2020132011"</f>
        <v>2020132011</v>
      </c>
      <c r="E70" s="14" t="str">
        <f>"20"</f>
        <v>20</v>
      </c>
      <c r="F70" s="14" t="str">
        <f>"11"</f>
        <v>11</v>
      </c>
      <c r="G70" s="14">
        <v>86</v>
      </c>
      <c r="H70" s="14">
        <v>64</v>
      </c>
      <c r="I70" s="19">
        <f t="shared" si="2"/>
        <v>72.8</v>
      </c>
      <c r="J70" s="16">
        <v>80.8</v>
      </c>
      <c r="K70" s="16">
        <f t="shared" si="3"/>
        <v>78.400000000000006</v>
      </c>
      <c r="L70" s="20">
        <v>3</v>
      </c>
      <c r="M70" s="18"/>
    </row>
    <row r="71" spans="1:13" s="1" customFormat="1" ht="32.1" customHeight="1">
      <c r="A71" s="12">
        <v>69</v>
      </c>
      <c r="B71" s="12">
        <v>22</v>
      </c>
      <c r="C71" s="13" t="s">
        <v>19</v>
      </c>
      <c r="D71" s="14" t="str">
        <f>"2020131925"</f>
        <v>2020131925</v>
      </c>
      <c r="E71" s="14" t="str">
        <f>"19"</f>
        <v>19</v>
      </c>
      <c r="F71" s="14" t="str">
        <f>"25"</f>
        <v>25</v>
      </c>
      <c r="G71" s="14">
        <v>89</v>
      </c>
      <c r="H71" s="14">
        <v>81</v>
      </c>
      <c r="I71" s="19">
        <f t="shared" si="2"/>
        <v>84.2</v>
      </c>
      <c r="J71" s="16">
        <v>75.8</v>
      </c>
      <c r="K71" s="16">
        <f t="shared" si="3"/>
        <v>78.319999999999993</v>
      </c>
      <c r="L71" s="20">
        <v>3</v>
      </c>
      <c r="M71" s="18"/>
    </row>
    <row r="72" spans="1:13" s="1" customFormat="1" ht="32.1" customHeight="1">
      <c r="A72" s="12">
        <v>70</v>
      </c>
      <c r="B72" s="12">
        <v>1</v>
      </c>
      <c r="C72" s="13" t="s">
        <v>19</v>
      </c>
      <c r="D72" s="14" t="str">
        <f>"2020131808"</f>
        <v>2020131808</v>
      </c>
      <c r="E72" s="14" t="str">
        <f>"18"</f>
        <v>18</v>
      </c>
      <c r="F72" s="14" t="str">
        <f>"08"</f>
        <v>08</v>
      </c>
      <c r="G72" s="14">
        <v>83</v>
      </c>
      <c r="H72" s="14">
        <v>68</v>
      </c>
      <c r="I72" s="19">
        <f t="shared" si="2"/>
        <v>74</v>
      </c>
      <c r="J72" s="16">
        <v>79.400000000000006</v>
      </c>
      <c r="K72" s="16">
        <f t="shared" si="3"/>
        <v>77.78</v>
      </c>
      <c r="L72" s="20">
        <v>4</v>
      </c>
      <c r="M72" s="18"/>
    </row>
    <row r="73" spans="1:13" s="1" customFormat="1" ht="32.1" customHeight="1">
      <c r="A73" s="12">
        <v>71</v>
      </c>
      <c r="B73" s="12">
        <v>2</v>
      </c>
      <c r="C73" s="13" t="s">
        <v>19</v>
      </c>
      <c r="D73" s="14" t="str">
        <f>"2020132006"</f>
        <v>2020132006</v>
      </c>
      <c r="E73" s="14" t="str">
        <f>"20"</f>
        <v>20</v>
      </c>
      <c r="F73" s="14" t="str">
        <f>"06"</f>
        <v>06</v>
      </c>
      <c r="G73" s="14">
        <v>91</v>
      </c>
      <c r="H73" s="14">
        <v>60</v>
      </c>
      <c r="I73" s="19">
        <f t="shared" si="2"/>
        <v>72.400000000000006</v>
      </c>
      <c r="J73" s="16">
        <v>79.599999999999994</v>
      </c>
      <c r="K73" s="16">
        <f t="shared" si="3"/>
        <v>77.44</v>
      </c>
      <c r="L73" s="20">
        <v>4</v>
      </c>
      <c r="M73" s="18"/>
    </row>
    <row r="74" spans="1:13" s="1" customFormat="1" ht="32.1" customHeight="1">
      <c r="A74" s="12">
        <v>72</v>
      </c>
      <c r="B74" s="12">
        <v>3</v>
      </c>
      <c r="C74" s="13" t="s">
        <v>19</v>
      </c>
      <c r="D74" s="14" t="str">
        <f>"2020131909"</f>
        <v>2020131909</v>
      </c>
      <c r="E74" s="14" t="str">
        <f>"19"</f>
        <v>19</v>
      </c>
      <c r="F74" s="14" t="str">
        <f>"09"</f>
        <v>09</v>
      </c>
      <c r="G74" s="14">
        <v>89</v>
      </c>
      <c r="H74" s="14">
        <v>72</v>
      </c>
      <c r="I74" s="19">
        <f t="shared" si="2"/>
        <v>78.8</v>
      </c>
      <c r="J74" s="16">
        <v>76.2</v>
      </c>
      <c r="K74" s="16">
        <f t="shared" si="3"/>
        <v>76.98</v>
      </c>
      <c r="L74" s="20">
        <v>4</v>
      </c>
      <c r="M74" s="18"/>
    </row>
    <row r="75" spans="1:13" s="1" customFormat="1" ht="32.1" customHeight="1">
      <c r="A75" s="12">
        <v>73</v>
      </c>
      <c r="B75" s="12">
        <v>4</v>
      </c>
      <c r="C75" s="13" t="s">
        <v>19</v>
      </c>
      <c r="D75" s="14" t="str">
        <f>"2020131823"</f>
        <v>2020131823</v>
      </c>
      <c r="E75" s="14" t="str">
        <f>"18"</f>
        <v>18</v>
      </c>
      <c r="F75" s="14" t="str">
        <f>"23"</f>
        <v>23</v>
      </c>
      <c r="G75" s="14">
        <v>78</v>
      </c>
      <c r="H75" s="14">
        <v>72</v>
      </c>
      <c r="I75" s="19">
        <f t="shared" si="2"/>
        <v>74.400000000000006</v>
      </c>
      <c r="J75" s="16">
        <v>77.400000000000006</v>
      </c>
      <c r="K75" s="16">
        <f t="shared" si="3"/>
        <v>76.5</v>
      </c>
      <c r="L75" s="20">
        <v>4</v>
      </c>
      <c r="M75" s="18"/>
    </row>
    <row r="76" spans="1:13" s="1" customFormat="1" ht="32.1" customHeight="1">
      <c r="A76" s="12">
        <v>74</v>
      </c>
      <c r="B76" s="12">
        <v>5</v>
      </c>
      <c r="C76" s="13" t="s">
        <v>19</v>
      </c>
      <c r="D76" s="14" t="str">
        <f>"2020131601"</f>
        <v>2020131601</v>
      </c>
      <c r="E76" s="14" t="str">
        <f>"16"</f>
        <v>16</v>
      </c>
      <c r="F76" s="14" t="str">
        <f>"01"</f>
        <v>01</v>
      </c>
      <c r="G76" s="14">
        <v>75</v>
      </c>
      <c r="H76" s="14">
        <v>72</v>
      </c>
      <c r="I76" s="19">
        <f t="shared" si="2"/>
        <v>73.2</v>
      </c>
      <c r="J76" s="16">
        <v>77.8</v>
      </c>
      <c r="K76" s="16">
        <f t="shared" si="3"/>
        <v>76.42</v>
      </c>
      <c r="L76" s="20">
        <v>4</v>
      </c>
      <c r="M76" s="18"/>
    </row>
    <row r="77" spans="1:13" s="1" customFormat="1" ht="32.1" customHeight="1">
      <c r="A77" s="12">
        <v>75</v>
      </c>
      <c r="B77" s="12">
        <v>6</v>
      </c>
      <c r="C77" s="13" t="s">
        <v>20</v>
      </c>
      <c r="D77" s="14" t="str">
        <f>"2020142303"</f>
        <v>2020142303</v>
      </c>
      <c r="E77" s="14" t="str">
        <f>"23"</f>
        <v>23</v>
      </c>
      <c r="F77" s="14" t="str">
        <f>"03"</f>
        <v>03</v>
      </c>
      <c r="G77" s="14">
        <v>78</v>
      </c>
      <c r="H77" s="14">
        <v>93</v>
      </c>
      <c r="I77" s="19">
        <f t="shared" si="2"/>
        <v>87</v>
      </c>
      <c r="J77" s="16">
        <v>81.8</v>
      </c>
      <c r="K77" s="16">
        <f t="shared" si="3"/>
        <v>83.36</v>
      </c>
      <c r="L77" s="20">
        <v>4</v>
      </c>
      <c r="M77" s="18"/>
    </row>
    <row r="78" spans="1:13" s="1" customFormat="1" ht="32.1" customHeight="1">
      <c r="A78" s="12">
        <v>76</v>
      </c>
      <c r="B78" s="12">
        <v>7</v>
      </c>
      <c r="C78" s="13" t="s">
        <v>20</v>
      </c>
      <c r="D78" s="14" t="str">
        <f>"2020142105"</f>
        <v>2020142105</v>
      </c>
      <c r="E78" s="14" t="str">
        <f>"21"</f>
        <v>21</v>
      </c>
      <c r="F78" s="14" t="str">
        <f>"05"</f>
        <v>05</v>
      </c>
      <c r="G78" s="14">
        <v>73</v>
      </c>
      <c r="H78" s="14">
        <v>87</v>
      </c>
      <c r="I78" s="19">
        <f t="shared" si="2"/>
        <v>81.400000000000006</v>
      </c>
      <c r="J78" s="16">
        <v>83</v>
      </c>
      <c r="K78" s="16">
        <f t="shared" si="3"/>
        <v>82.52</v>
      </c>
      <c r="L78" s="20">
        <v>4</v>
      </c>
      <c r="M78" s="18"/>
    </row>
    <row r="79" spans="1:13" s="1" customFormat="1" ht="32.1" customHeight="1">
      <c r="A79" s="12">
        <v>77</v>
      </c>
      <c r="B79" s="12">
        <v>8</v>
      </c>
      <c r="C79" s="13" t="s">
        <v>20</v>
      </c>
      <c r="D79" s="14" t="str">
        <f>"2020142023"</f>
        <v>2020142023</v>
      </c>
      <c r="E79" s="14" t="str">
        <f>"20"</f>
        <v>20</v>
      </c>
      <c r="F79" s="14" t="str">
        <f>"23"</f>
        <v>23</v>
      </c>
      <c r="G79" s="14">
        <v>85</v>
      </c>
      <c r="H79" s="14">
        <v>83</v>
      </c>
      <c r="I79" s="19">
        <f t="shared" si="2"/>
        <v>83.8</v>
      </c>
      <c r="J79" s="16">
        <v>81.599999999999994</v>
      </c>
      <c r="K79" s="16">
        <f t="shared" si="3"/>
        <v>82.26</v>
      </c>
      <c r="L79" s="20">
        <v>4</v>
      </c>
      <c r="M79" s="18"/>
    </row>
    <row r="80" spans="1:13" s="1" customFormat="1" ht="32.1" customHeight="1">
      <c r="A80" s="12">
        <v>78</v>
      </c>
      <c r="B80" s="12">
        <v>9</v>
      </c>
      <c r="C80" s="13" t="s">
        <v>20</v>
      </c>
      <c r="D80" s="14" t="str">
        <f>"2020142116"</f>
        <v>2020142116</v>
      </c>
      <c r="E80" s="14" t="str">
        <f>"21"</f>
        <v>21</v>
      </c>
      <c r="F80" s="14" t="str">
        <f>"16"</f>
        <v>16</v>
      </c>
      <c r="G80" s="14">
        <v>82</v>
      </c>
      <c r="H80" s="14">
        <v>91</v>
      </c>
      <c r="I80" s="19">
        <f t="shared" si="2"/>
        <v>87.4</v>
      </c>
      <c r="J80" s="16">
        <v>79.8</v>
      </c>
      <c r="K80" s="16">
        <f t="shared" si="3"/>
        <v>82.08</v>
      </c>
      <c r="L80" s="20">
        <v>4</v>
      </c>
      <c r="M80" s="18"/>
    </row>
    <row r="81" spans="1:13" s="1" customFormat="1" ht="32.1" customHeight="1">
      <c r="A81" s="12">
        <v>79</v>
      </c>
      <c r="B81" s="12">
        <v>10</v>
      </c>
      <c r="C81" s="13" t="s">
        <v>20</v>
      </c>
      <c r="D81" s="14" t="str">
        <f>"2020142311"</f>
        <v>2020142311</v>
      </c>
      <c r="E81" s="14" t="str">
        <f>"23"</f>
        <v>23</v>
      </c>
      <c r="F81" s="14" t="str">
        <f>"11"</f>
        <v>11</v>
      </c>
      <c r="G81" s="14">
        <v>86</v>
      </c>
      <c r="H81" s="14">
        <v>85</v>
      </c>
      <c r="I81" s="19">
        <f t="shared" si="2"/>
        <v>85.4</v>
      </c>
      <c r="J81" s="16">
        <v>79.599999999999994</v>
      </c>
      <c r="K81" s="16">
        <f t="shared" si="3"/>
        <v>81.34</v>
      </c>
      <c r="L81" s="20">
        <v>4</v>
      </c>
      <c r="M81" s="18"/>
    </row>
    <row r="82" spans="1:13" s="1" customFormat="1" ht="32.1" customHeight="1">
      <c r="A82" s="12">
        <v>80</v>
      </c>
      <c r="B82" s="12">
        <v>11</v>
      </c>
      <c r="C82" s="13" t="s">
        <v>20</v>
      </c>
      <c r="D82" s="14" t="str">
        <f>"2020142202"</f>
        <v>2020142202</v>
      </c>
      <c r="E82" s="14" t="str">
        <f>"22"</f>
        <v>22</v>
      </c>
      <c r="F82" s="14" t="str">
        <f>"02"</f>
        <v>02</v>
      </c>
      <c r="G82" s="14">
        <v>74</v>
      </c>
      <c r="H82" s="14">
        <v>80</v>
      </c>
      <c r="I82" s="19">
        <f t="shared" si="2"/>
        <v>77.599999999999994</v>
      </c>
      <c r="J82" s="16">
        <v>81</v>
      </c>
      <c r="K82" s="16">
        <f t="shared" si="3"/>
        <v>79.98</v>
      </c>
      <c r="L82" s="20">
        <v>4</v>
      </c>
      <c r="M82" s="18"/>
    </row>
    <row r="83" spans="1:13" s="1" customFormat="1" ht="32.1" customHeight="1">
      <c r="A83" s="12">
        <v>81</v>
      </c>
      <c r="B83" s="12">
        <v>12</v>
      </c>
      <c r="C83" s="13" t="s">
        <v>20</v>
      </c>
      <c r="D83" s="14" t="str">
        <f>"2020142216"</f>
        <v>2020142216</v>
      </c>
      <c r="E83" s="14" t="str">
        <f>"22"</f>
        <v>22</v>
      </c>
      <c r="F83" s="14" t="str">
        <f>"16"</f>
        <v>16</v>
      </c>
      <c r="G83" s="14">
        <v>83</v>
      </c>
      <c r="H83" s="14">
        <v>91</v>
      </c>
      <c r="I83" s="19">
        <f t="shared" si="2"/>
        <v>87.8</v>
      </c>
      <c r="J83" s="16">
        <v>76.400000000000006</v>
      </c>
      <c r="K83" s="16">
        <f t="shared" si="3"/>
        <v>79.819999999999993</v>
      </c>
      <c r="L83" s="20">
        <v>4</v>
      </c>
      <c r="M83" s="18"/>
    </row>
    <row r="84" spans="1:13" s="1" customFormat="1" ht="32.1" customHeight="1">
      <c r="A84" s="12">
        <v>82</v>
      </c>
      <c r="B84" s="12">
        <v>13</v>
      </c>
      <c r="C84" s="13" t="s">
        <v>20</v>
      </c>
      <c r="D84" s="14" t="str">
        <f>"2020142315"</f>
        <v>2020142315</v>
      </c>
      <c r="E84" s="14" t="str">
        <f>"23"</f>
        <v>23</v>
      </c>
      <c r="F84" s="14" t="str">
        <f>"15"</f>
        <v>15</v>
      </c>
      <c r="G84" s="14">
        <v>77</v>
      </c>
      <c r="H84" s="14">
        <v>90</v>
      </c>
      <c r="I84" s="19">
        <f t="shared" si="2"/>
        <v>84.8</v>
      </c>
      <c r="J84" s="16">
        <v>77.400000000000006</v>
      </c>
      <c r="K84" s="16">
        <f t="shared" si="3"/>
        <v>79.62</v>
      </c>
      <c r="L84" s="20">
        <v>4</v>
      </c>
      <c r="M84" s="18"/>
    </row>
    <row r="85" spans="1:13" s="1" customFormat="1" ht="32.1" customHeight="1">
      <c r="A85" s="12">
        <v>83</v>
      </c>
      <c r="B85" s="12">
        <v>14</v>
      </c>
      <c r="C85" s="13" t="s">
        <v>20</v>
      </c>
      <c r="D85" s="14" t="str">
        <f>"2020142225"</f>
        <v>2020142225</v>
      </c>
      <c r="E85" s="14" t="str">
        <f>"22"</f>
        <v>22</v>
      </c>
      <c r="F85" s="14" t="str">
        <f>"25"</f>
        <v>25</v>
      </c>
      <c r="G85" s="14">
        <v>65</v>
      </c>
      <c r="H85" s="14">
        <v>89</v>
      </c>
      <c r="I85" s="19">
        <f t="shared" si="2"/>
        <v>79.400000000000006</v>
      </c>
      <c r="J85" s="16">
        <v>78.8</v>
      </c>
      <c r="K85" s="16">
        <f t="shared" si="3"/>
        <v>78.98</v>
      </c>
      <c r="L85" s="20">
        <v>4</v>
      </c>
      <c r="M85" s="18"/>
    </row>
    <row r="86" spans="1:13" s="1" customFormat="1" ht="32.1" customHeight="1">
      <c r="A86" s="12">
        <v>84</v>
      </c>
      <c r="B86" s="12">
        <v>15</v>
      </c>
      <c r="C86" s="13" t="s">
        <v>20</v>
      </c>
      <c r="D86" s="14" t="str">
        <f>"2020142205"</f>
        <v>2020142205</v>
      </c>
      <c r="E86" s="14" t="str">
        <f>"22"</f>
        <v>22</v>
      </c>
      <c r="F86" s="14" t="str">
        <f>"05"</f>
        <v>05</v>
      </c>
      <c r="G86" s="14">
        <v>83</v>
      </c>
      <c r="H86" s="14">
        <v>84</v>
      </c>
      <c r="I86" s="19">
        <f t="shared" si="2"/>
        <v>83.6</v>
      </c>
      <c r="J86" s="16">
        <v>76.8</v>
      </c>
      <c r="K86" s="16">
        <f t="shared" si="3"/>
        <v>78.84</v>
      </c>
      <c r="L86" s="20">
        <v>4</v>
      </c>
      <c r="M86" s="18"/>
    </row>
    <row r="87" spans="1:13" s="1" customFormat="1" ht="32.1" customHeight="1">
      <c r="A87" s="12">
        <v>85</v>
      </c>
      <c r="B87" s="12">
        <v>16</v>
      </c>
      <c r="C87" s="13" t="s">
        <v>20</v>
      </c>
      <c r="D87" s="14" t="str">
        <f>"2020142028"</f>
        <v>2020142028</v>
      </c>
      <c r="E87" s="14" t="str">
        <f>"20"</f>
        <v>20</v>
      </c>
      <c r="F87" s="14" t="str">
        <f>"28"</f>
        <v>28</v>
      </c>
      <c r="G87" s="14">
        <v>67</v>
      </c>
      <c r="H87" s="14">
        <v>84</v>
      </c>
      <c r="I87" s="19">
        <f t="shared" si="2"/>
        <v>77.2</v>
      </c>
      <c r="J87" s="16">
        <v>78.8</v>
      </c>
      <c r="K87" s="16">
        <f t="shared" si="3"/>
        <v>78.319999999999993</v>
      </c>
      <c r="L87" s="20">
        <v>4</v>
      </c>
      <c r="M87" s="18"/>
    </row>
    <row r="88" spans="1:13" s="1" customFormat="1" ht="32.1" customHeight="1">
      <c r="A88" s="12">
        <v>86</v>
      </c>
      <c r="B88" s="12">
        <v>17</v>
      </c>
      <c r="C88" s="13" t="s">
        <v>20</v>
      </c>
      <c r="D88" s="14" t="str">
        <f>"2020142206"</f>
        <v>2020142206</v>
      </c>
      <c r="E88" s="14" t="str">
        <f>"22"</f>
        <v>22</v>
      </c>
      <c r="F88" s="14" t="str">
        <f>"06"</f>
        <v>06</v>
      </c>
      <c r="G88" s="14">
        <v>74</v>
      </c>
      <c r="H88" s="14">
        <v>78</v>
      </c>
      <c r="I88" s="19">
        <f t="shared" si="2"/>
        <v>76.400000000000006</v>
      </c>
      <c r="J88" s="16">
        <v>77.8</v>
      </c>
      <c r="K88" s="16">
        <f t="shared" si="3"/>
        <v>77.38</v>
      </c>
      <c r="L88" s="20">
        <v>4</v>
      </c>
      <c r="M88" s="18"/>
    </row>
    <row r="89" spans="1:13" s="1" customFormat="1" ht="32.1" customHeight="1">
      <c r="A89" s="12">
        <v>87</v>
      </c>
      <c r="B89" s="12">
        <v>18</v>
      </c>
      <c r="C89" s="13" t="s">
        <v>21</v>
      </c>
      <c r="D89" s="14" t="str">
        <f>"2020152417"</f>
        <v>2020152417</v>
      </c>
      <c r="E89" s="14" t="str">
        <f>"24"</f>
        <v>24</v>
      </c>
      <c r="F89" s="14" t="str">
        <f>"17"</f>
        <v>17</v>
      </c>
      <c r="G89" s="14">
        <v>73</v>
      </c>
      <c r="H89" s="14">
        <v>83</v>
      </c>
      <c r="I89" s="19">
        <f t="shared" si="2"/>
        <v>79</v>
      </c>
      <c r="J89" s="16">
        <v>81.400000000000006</v>
      </c>
      <c r="K89" s="16">
        <f t="shared" si="3"/>
        <v>80.680000000000007</v>
      </c>
      <c r="L89" s="20">
        <v>4</v>
      </c>
      <c r="M89" s="18"/>
    </row>
    <row r="90" spans="1:13" s="1" customFormat="1" ht="32.1" customHeight="1">
      <c r="A90" s="12">
        <v>88</v>
      </c>
      <c r="B90" s="12">
        <v>19</v>
      </c>
      <c r="C90" s="13" t="s">
        <v>21</v>
      </c>
      <c r="D90" s="14" t="str">
        <f>"2020152514"</f>
        <v>2020152514</v>
      </c>
      <c r="E90" s="14" t="str">
        <f>"25"</f>
        <v>25</v>
      </c>
      <c r="F90" s="14" t="str">
        <f>"14"</f>
        <v>14</v>
      </c>
      <c r="G90" s="14">
        <v>77</v>
      </c>
      <c r="H90" s="14">
        <v>92</v>
      </c>
      <c r="I90" s="19">
        <f t="shared" si="2"/>
        <v>86</v>
      </c>
      <c r="J90" s="16">
        <v>78.2</v>
      </c>
      <c r="K90" s="16">
        <f t="shared" si="3"/>
        <v>80.540000000000006</v>
      </c>
      <c r="L90" s="20">
        <v>4</v>
      </c>
      <c r="M90" s="18"/>
    </row>
    <row r="91" spans="1:13" s="1" customFormat="1" ht="32.1" customHeight="1">
      <c r="A91" s="12">
        <v>89</v>
      </c>
      <c r="B91" s="12">
        <v>20</v>
      </c>
      <c r="C91" s="13" t="s">
        <v>21</v>
      </c>
      <c r="D91" s="14" t="str">
        <f>"2020152601"</f>
        <v>2020152601</v>
      </c>
      <c r="E91" s="14" t="str">
        <f>"26"</f>
        <v>26</v>
      </c>
      <c r="F91" s="14" t="str">
        <f>"01"</f>
        <v>01</v>
      </c>
      <c r="G91" s="14">
        <v>79</v>
      </c>
      <c r="H91" s="14">
        <v>76</v>
      </c>
      <c r="I91" s="19">
        <f t="shared" si="2"/>
        <v>77.2</v>
      </c>
      <c r="J91" s="16">
        <v>81.2</v>
      </c>
      <c r="K91" s="16">
        <f t="shared" si="3"/>
        <v>80</v>
      </c>
      <c r="L91" s="20">
        <v>4</v>
      </c>
      <c r="M91" s="18"/>
    </row>
    <row r="92" spans="1:13" s="1" customFormat="1" ht="32.1" customHeight="1">
      <c r="A92" s="12">
        <v>90</v>
      </c>
      <c r="B92" s="12">
        <v>21</v>
      </c>
      <c r="C92" s="13" t="s">
        <v>21</v>
      </c>
      <c r="D92" s="14" t="str">
        <f>"2020152708"</f>
        <v>2020152708</v>
      </c>
      <c r="E92" s="14" t="str">
        <f>"27"</f>
        <v>27</v>
      </c>
      <c r="F92" s="14" t="str">
        <f>"08"</f>
        <v>08</v>
      </c>
      <c r="G92" s="14">
        <v>79</v>
      </c>
      <c r="H92" s="14">
        <v>78</v>
      </c>
      <c r="I92" s="19">
        <f t="shared" si="2"/>
        <v>78.400000000000006</v>
      </c>
      <c r="J92" s="16">
        <v>80.2</v>
      </c>
      <c r="K92" s="16">
        <f t="shared" si="3"/>
        <v>79.66</v>
      </c>
      <c r="L92" s="20">
        <v>4</v>
      </c>
      <c r="M92" s="18"/>
    </row>
    <row r="93" spans="1:13" s="1" customFormat="1" ht="32.1" customHeight="1">
      <c r="A93" s="12">
        <v>91</v>
      </c>
      <c r="B93" s="12">
        <v>22</v>
      </c>
      <c r="C93" s="13" t="s">
        <v>21</v>
      </c>
      <c r="D93" s="14" t="str">
        <f>"2020152416"</f>
        <v>2020152416</v>
      </c>
      <c r="E93" s="14" t="str">
        <f>"24"</f>
        <v>24</v>
      </c>
      <c r="F93" s="14" t="str">
        <f>"16"</f>
        <v>16</v>
      </c>
      <c r="G93" s="14">
        <v>85</v>
      </c>
      <c r="H93" s="14">
        <v>82</v>
      </c>
      <c r="I93" s="19">
        <f t="shared" si="2"/>
        <v>83.2</v>
      </c>
      <c r="J93" s="16">
        <v>78</v>
      </c>
      <c r="K93" s="16">
        <f t="shared" si="3"/>
        <v>79.56</v>
      </c>
      <c r="L93" s="20">
        <v>4</v>
      </c>
      <c r="M93" s="18"/>
    </row>
    <row r="94" spans="1:13" s="1" customFormat="1" ht="32.1" customHeight="1">
      <c r="A94" s="12">
        <v>92</v>
      </c>
      <c r="B94" s="12">
        <v>1</v>
      </c>
      <c r="C94" s="13" t="s">
        <v>21</v>
      </c>
      <c r="D94" s="14" t="str">
        <f>"2020152509"</f>
        <v>2020152509</v>
      </c>
      <c r="E94" s="14" t="str">
        <f>"25"</f>
        <v>25</v>
      </c>
      <c r="F94" s="14" t="str">
        <f>"09"</f>
        <v>09</v>
      </c>
      <c r="G94" s="14">
        <v>79</v>
      </c>
      <c r="H94" s="14">
        <v>73</v>
      </c>
      <c r="I94" s="19">
        <f t="shared" si="2"/>
        <v>75.400000000000006</v>
      </c>
      <c r="J94" s="16">
        <v>80.8</v>
      </c>
      <c r="K94" s="16">
        <f t="shared" si="3"/>
        <v>79.180000000000007</v>
      </c>
      <c r="L94" s="20">
        <v>5</v>
      </c>
      <c r="M94" s="18"/>
    </row>
    <row r="95" spans="1:13" s="1" customFormat="1" ht="32.1" customHeight="1">
      <c r="A95" s="12">
        <v>93</v>
      </c>
      <c r="B95" s="12">
        <v>2</v>
      </c>
      <c r="C95" s="13" t="s">
        <v>21</v>
      </c>
      <c r="D95" s="14" t="str">
        <f>"2020152405"</f>
        <v>2020152405</v>
      </c>
      <c r="E95" s="14" t="str">
        <f>"24"</f>
        <v>24</v>
      </c>
      <c r="F95" s="14" t="str">
        <f>"05"</f>
        <v>05</v>
      </c>
      <c r="G95" s="14">
        <v>80</v>
      </c>
      <c r="H95" s="14">
        <v>76</v>
      </c>
      <c r="I95" s="19">
        <f t="shared" si="2"/>
        <v>77.599999999999994</v>
      </c>
      <c r="J95" s="16">
        <v>79</v>
      </c>
      <c r="K95" s="16">
        <f t="shared" si="3"/>
        <v>78.58</v>
      </c>
      <c r="L95" s="20">
        <v>5</v>
      </c>
      <c r="M95" s="18"/>
    </row>
    <row r="96" spans="1:13" s="1" customFormat="1" ht="32.1" customHeight="1">
      <c r="A96" s="12">
        <v>94</v>
      </c>
      <c r="B96" s="12">
        <v>3</v>
      </c>
      <c r="C96" s="13" t="s">
        <v>21</v>
      </c>
      <c r="D96" s="14" t="str">
        <f>"2020152604"</f>
        <v>2020152604</v>
      </c>
      <c r="E96" s="14" t="str">
        <f>"26"</f>
        <v>26</v>
      </c>
      <c r="F96" s="14" t="str">
        <f>"04"</f>
        <v>04</v>
      </c>
      <c r="G96" s="14">
        <v>65</v>
      </c>
      <c r="H96" s="14">
        <v>93</v>
      </c>
      <c r="I96" s="19">
        <f t="shared" si="2"/>
        <v>81.8</v>
      </c>
      <c r="J96" s="16">
        <v>77.2</v>
      </c>
      <c r="K96" s="16">
        <f t="shared" si="3"/>
        <v>78.58</v>
      </c>
      <c r="L96" s="20">
        <v>5</v>
      </c>
      <c r="M96" s="18"/>
    </row>
    <row r="97" spans="1:13" s="1" customFormat="1" ht="32.1" customHeight="1">
      <c r="A97" s="12">
        <v>95</v>
      </c>
      <c r="B97" s="12">
        <v>4</v>
      </c>
      <c r="C97" s="13" t="s">
        <v>21</v>
      </c>
      <c r="D97" s="14" t="str">
        <f>"2020152526"</f>
        <v>2020152526</v>
      </c>
      <c r="E97" s="14" t="str">
        <f>"25"</f>
        <v>25</v>
      </c>
      <c r="F97" s="14" t="str">
        <f>"26"</f>
        <v>26</v>
      </c>
      <c r="G97" s="14">
        <v>81</v>
      </c>
      <c r="H97" s="14">
        <v>78</v>
      </c>
      <c r="I97" s="19">
        <f t="shared" si="2"/>
        <v>79.2</v>
      </c>
      <c r="J97" s="16">
        <v>77.8</v>
      </c>
      <c r="K97" s="16">
        <f t="shared" si="3"/>
        <v>78.22</v>
      </c>
      <c r="L97" s="20">
        <v>5</v>
      </c>
      <c r="M97" s="18"/>
    </row>
    <row r="98" spans="1:13" s="1" customFormat="1" ht="32.1" customHeight="1">
      <c r="A98" s="12">
        <v>96</v>
      </c>
      <c r="B98" s="12">
        <v>5</v>
      </c>
      <c r="C98" s="13" t="s">
        <v>21</v>
      </c>
      <c r="D98" s="14" t="str">
        <f>"2020152719"</f>
        <v>2020152719</v>
      </c>
      <c r="E98" s="14" t="str">
        <f>"27"</f>
        <v>27</v>
      </c>
      <c r="F98" s="14" t="str">
        <f>"19"</f>
        <v>19</v>
      </c>
      <c r="G98" s="14">
        <v>81</v>
      </c>
      <c r="H98" s="14">
        <v>89</v>
      </c>
      <c r="I98" s="19">
        <f t="shared" si="2"/>
        <v>85.8</v>
      </c>
      <c r="J98" s="16">
        <v>74.8</v>
      </c>
      <c r="K98" s="16">
        <f t="shared" si="3"/>
        <v>78.099999999999994</v>
      </c>
      <c r="L98" s="20">
        <v>5</v>
      </c>
      <c r="M98" s="18"/>
    </row>
    <row r="99" spans="1:13" s="1" customFormat="1" ht="32.1" customHeight="1">
      <c r="A99" s="12">
        <v>97</v>
      </c>
      <c r="B99" s="12">
        <v>6</v>
      </c>
      <c r="C99" s="13" t="s">
        <v>21</v>
      </c>
      <c r="D99" s="14" t="str">
        <f>"2020152620"</f>
        <v>2020152620</v>
      </c>
      <c r="E99" s="14" t="str">
        <f>"26"</f>
        <v>26</v>
      </c>
      <c r="F99" s="14" t="str">
        <f>"20"</f>
        <v>20</v>
      </c>
      <c r="G99" s="14">
        <v>76</v>
      </c>
      <c r="H99" s="14">
        <v>86</v>
      </c>
      <c r="I99" s="19">
        <f t="shared" si="2"/>
        <v>82</v>
      </c>
      <c r="J99" s="16">
        <v>76.400000000000006</v>
      </c>
      <c r="K99" s="16">
        <f t="shared" si="3"/>
        <v>78.08</v>
      </c>
      <c r="L99" s="20">
        <v>5</v>
      </c>
      <c r="M99" s="18"/>
    </row>
    <row r="100" spans="1:13" s="1" customFormat="1" ht="32.1" customHeight="1">
      <c r="A100" s="12">
        <v>98</v>
      </c>
      <c r="B100" s="12">
        <v>7</v>
      </c>
      <c r="C100" s="13" t="s">
        <v>21</v>
      </c>
      <c r="D100" s="14" t="str">
        <f>"2020152506"</f>
        <v>2020152506</v>
      </c>
      <c r="E100" s="14" t="str">
        <f>"25"</f>
        <v>25</v>
      </c>
      <c r="F100" s="14" t="str">
        <f>"06"</f>
        <v>06</v>
      </c>
      <c r="G100" s="14">
        <v>72</v>
      </c>
      <c r="H100" s="14">
        <v>82</v>
      </c>
      <c r="I100" s="19">
        <f t="shared" si="2"/>
        <v>78</v>
      </c>
      <c r="J100" s="16">
        <v>78</v>
      </c>
      <c r="K100" s="16">
        <f t="shared" si="3"/>
        <v>78</v>
      </c>
      <c r="L100" s="20">
        <v>5</v>
      </c>
      <c r="M100" s="18"/>
    </row>
    <row r="101" spans="1:13" s="1" customFormat="1" ht="32.1" customHeight="1">
      <c r="A101" s="12">
        <v>99</v>
      </c>
      <c r="B101" s="12">
        <v>8</v>
      </c>
      <c r="C101" s="13" t="s">
        <v>22</v>
      </c>
      <c r="D101" s="14" t="str">
        <f>"2020163106"</f>
        <v>2020163106</v>
      </c>
      <c r="E101" s="14" t="str">
        <f>"31"</f>
        <v>31</v>
      </c>
      <c r="F101" s="14" t="str">
        <f>"06"</f>
        <v>06</v>
      </c>
      <c r="G101" s="14">
        <v>94</v>
      </c>
      <c r="H101" s="14">
        <v>99</v>
      </c>
      <c r="I101" s="19">
        <f t="shared" si="2"/>
        <v>97</v>
      </c>
      <c r="J101" s="16">
        <v>84.4</v>
      </c>
      <c r="K101" s="16">
        <f t="shared" si="3"/>
        <v>88.18</v>
      </c>
      <c r="L101" s="20">
        <v>5</v>
      </c>
      <c r="M101" s="18"/>
    </row>
    <row r="102" spans="1:13" s="1" customFormat="1" ht="32.1" customHeight="1">
      <c r="A102" s="12">
        <v>100</v>
      </c>
      <c r="B102" s="12">
        <v>9</v>
      </c>
      <c r="C102" s="13" t="s">
        <v>22</v>
      </c>
      <c r="D102" s="14" t="str">
        <f>"2020163102"</f>
        <v>2020163102</v>
      </c>
      <c r="E102" s="14" t="str">
        <f>"31"</f>
        <v>31</v>
      </c>
      <c r="F102" s="14" t="str">
        <f>"02"</f>
        <v>02</v>
      </c>
      <c r="G102" s="14">
        <v>88</v>
      </c>
      <c r="H102" s="14">
        <v>90</v>
      </c>
      <c r="I102" s="19">
        <f t="shared" si="2"/>
        <v>89.2</v>
      </c>
      <c r="J102" s="16">
        <v>82.8</v>
      </c>
      <c r="K102" s="16">
        <f t="shared" si="3"/>
        <v>84.72</v>
      </c>
      <c r="L102" s="20">
        <v>5</v>
      </c>
      <c r="M102" s="18"/>
    </row>
    <row r="103" spans="1:13" s="1" customFormat="1" ht="32.1" customHeight="1">
      <c r="A103" s="12">
        <v>101</v>
      </c>
      <c r="B103" s="12">
        <v>10</v>
      </c>
      <c r="C103" s="13" t="s">
        <v>22</v>
      </c>
      <c r="D103" s="14" t="str">
        <f>"2020162810"</f>
        <v>2020162810</v>
      </c>
      <c r="E103" s="14" t="str">
        <f>"28"</f>
        <v>28</v>
      </c>
      <c r="F103" s="14" t="str">
        <f>"10"</f>
        <v>10</v>
      </c>
      <c r="G103" s="14">
        <v>76</v>
      </c>
      <c r="H103" s="14">
        <v>88</v>
      </c>
      <c r="I103" s="19">
        <f t="shared" si="2"/>
        <v>83.2</v>
      </c>
      <c r="J103" s="16">
        <v>85</v>
      </c>
      <c r="K103" s="16">
        <f t="shared" si="3"/>
        <v>84.46</v>
      </c>
      <c r="L103" s="20">
        <v>5</v>
      </c>
      <c r="M103" s="18"/>
    </row>
    <row r="104" spans="1:13" s="1" customFormat="1" ht="32.1" customHeight="1">
      <c r="A104" s="12">
        <v>102</v>
      </c>
      <c r="B104" s="12">
        <v>11</v>
      </c>
      <c r="C104" s="13" t="s">
        <v>22</v>
      </c>
      <c r="D104" s="14" t="str">
        <f>"2020163020"</f>
        <v>2020163020</v>
      </c>
      <c r="E104" s="14" t="str">
        <f>"30"</f>
        <v>30</v>
      </c>
      <c r="F104" s="14" t="str">
        <f>"20"</f>
        <v>20</v>
      </c>
      <c r="G104" s="14">
        <v>92</v>
      </c>
      <c r="H104" s="14">
        <v>88</v>
      </c>
      <c r="I104" s="19">
        <f t="shared" si="2"/>
        <v>89.6</v>
      </c>
      <c r="J104" s="16">
        <v>82</v>
      </c>
      <c r="K104" s="16">
        <f t="shared" si="3"/>
        <v>84.28</v>
      </c>
      <c r="L104" s="20">
        <v>5</v>
      </c>
      <c r="M104" s="18"/>
    </row>
    <row r="105" spans="1:13" s="1" customFormat="1" ht="32.1" customHeight="1">
      <c r="A105" s="12">
        <v>103</v>
      </c>
      <c r="B105" s="12">
        <v>12</v>
      </c>
      <c r="C105" s="13" t="s">
        <v>22</v>
      </c>
      <c r="D105" s="14" t="str">
        <f>"2020163023"</f>
        <v>2020163023</v>
      </c>
      <c r="E105" s="14" t="str">
        <f>"30"</f>
        <v>30</v>
      </c>
      <c r="F105" s="14" t="str">
        <f>"23"</f>
        <v>23</v>
      </c>
      <c r="G105" s="14">
        <v>82</v>
      </c>
      <c r="H105" s="14">
        <v>88</v>
      </c>
      <c r="I105" s="19">
        <f t="shared" si="2"/>
        <v>85.6</v>
      </c>
      <c r="J105" s="16">
        <v>81.8</v>
      </c>
      <c r="K105" s="16">
        <f t="shared" si="3"/>
        <v>82.94</v>
      </c>
      <c r="L105" s="20">
        <v>5</v>
      </c>
      <c r="M105" s="18"/>
    </row>
    <row r="106" spans="1:13" s="1" customFormat="1" ht="32.1" customHeight="1">
      <c r="A106" s="12">
        <v>104</v>
      </c>
      <c r="B106" s="12">
        <v>13</v>
      </c>
      <c r="C106" s="13" t="s">
        <v>22</v>
      </c>
      <c r="D106" s="14" t="str">
        <f>"2020162908"</f>
        <v>2020162908</v>
      </c>
      <c r="E106" s="14" t="str">
        <f>"29"</f>
        <v>29</v>
      </c>
      <c r="F106" s="14" t="str">
        <f>"08"</f>
        <v>08</v>
      </c>
      <c r="G106" s="14">
        <v>73</v>
      </c>
      <c r="H106" s="14">
        <v>87</v>
      </c>
      <c r="I106" s="19">
        <f t="shared" si="2"/>
        <v>81.400000000000006</v>
      </c>
      <c r="J106" s="16">
        <v>82</v>
      </c>
      <c r="K106" s="16">
        <f t="shared" si="3"/>
        <v>81.819999999999993</v>
      </c>
      <c r="L106" s="20">
        <v>5</v>
      </c>
      <c r="M106" s="18"/>
    </row>
    <row r="107" spans="1:13" s="1" customFormat="1" ht="32.1" customHeight="1">
      <c r="A107" s="12">
        <v>105</v>
      </c>
      <c r="B107" s="12">
        <v>14</v>
      </c>
      <c r="C107" s="13" t="s">
        <v>22</v>
      </c>
      <c r="D107" s="14" t="str">
        <f>"2020162921"</f>
        <v>2020162921</v>
      </c>
      <c r="E107" s="14" t="str">
        <f>"29"</f>
        <v>29</v>
      </c>
      <c r="F107" s="14" t="str">
        <f>"21"</f>
        <v>21</v>
      </c>
      <c r="G107" s="14">
        <v>74</v>
      </c>
      <c r="H107" s="14">
        <v>88</v>
      </c>
      <c r="I107" s="19">
        <f t="shared" si="2"/>
        <v>82.4</v>
      </c>
      <c r="J107" s="16">
        <v>81.2</v>
      </c>
      <c r="K107" s="16">
        <f t="shared" si="3"/>
        <v>81.56</v>
      </c>
      <c r="L107" s="20">
        <v>5</v>
      </c>
      <c r="M107" s="18"/>
    </row>
    <row r="108" spans="1:13" s="1" customFormat="1" ht="32.1" customHeight="1">
      <c r="A108" s="12">
        <v>106</v>
      </c>
      <c r="B108" s="12">
        <v>15</v>
      </c>
      <c r="C108" s="13" t="s">
        <v>22</v>
      </c>
      <c r="D108" s="14" t="str">
        <f>"2020162928"</f>
        <v>2020162928</v>
      </c>
      <c r="E108" s="14" t="str">
        <f>"29"</f>
        <v>29</v>
      </c>
      <c r="F108" s="14" t="str">
        <f>"28"</f>
        <v>28</v>
      </c>
      <c r="G108" s="14">
        <v>69</v>
      </c>
      <c r="H108" s="14">
        <v>92</v>
      </c>
      <c r="I108" s="19">
        <f t="shared" si="2"/>
        <v>82.8</v>
      </c>
      <c r="J108" s="16">
        <v>80.599999999999994</v>
      </c>
      <c r="K108" s="16">
        <f t="shared" si="3"/>
        <v>81.260000000000005</v>
      </c>
      <c r="L108" s="20">
        <v>5</v>
      </c>
      <c r="M108" s="18"/>
    </row>
    <row r="109" spans="1:13" s="1" customFormat="1" ht="32.1" customHeight="1">
      <c r="A109" s="12">
        <v>107</v>
      </c>
      <c r="B109" s="12">
        <v>16</v>
      </c>
      <c r="C109" s="13" t="s">
        <v>22</v>
      </c>
      <c r="D109" s="14" t="str">
        <f>"2020163008"</f>
        <v>2020163008</v>
      </c>
      <c r="E109" s="14" t="str">
        <f>"30"</f>
        <v>30</v>
      </c>
      <c r="F109" s="14" t="str">
        <f>"08"</f>
        <v>08</v>
      </c>
      <c r="G109" s="14">
        <v>88</v>
      </c>
      <c r="H109" s="14">
        <v>76</v>
      </c>
      <c r="I109" s="19">
        <f t="shared" si="2"/>
        <v>80.8</v>
      </c>
      <c r="J109" s="16">
        <v>81.400000000000006</v>
      </c>
      <c r="K109" s="16">
        <f t="shared" si="3"/>
        <v>81.22</v>
      </c>
      <c r="L109" s="20">
        <v>5</v>
      </c>
      <c r="M109" s="18"/>
    </row>
    <row r="110" spans="1:13" s="1" customFormat="1" ht="32.1" customHeight="1">
      <c r="A110" s="12">
        <v>108</v>
      </c>
      <c r="B110" s="12">
        <v>17</v>
      </c>
      <c r="C110" s="13" t="s">
        <v>22</v>
      </c>
      <c r="D110" s="14" t="str">
        <f>"2020162816"</f>
        <v>2020162816</v>
      </c>
      <c r="E110" s="14" t="str">
        <f>"28"</f>
        <v>28</v>
      </c>
      <c r="F110" s="14" t="str">
        <f>"16"</f>
        <v>16</v>
      </c>
      <c r="G110" s="14">
        <v>81</v>
      </c>
      <c r="H110" s="14">
        <v>84</v>
      </c>
      <c r="I110" s="19">
        <f t="shared" si="2"/>
        <v>82.8</v>
      </c>
      <c r="J110" s="16">
        <v>79.400000000000006</v>
      </c>
      <c r="K110" s="16">
        <f t="shared" si="3"/>
        <v>80.42</v>
      </c>
      <c r="L110" s="20">
        <v>5</v>
      </c>
      <c r="M110" s="18"/>
    </row>
    <row r="111" spans="1:13" s="1" customFormat="1" ht="32.1" customHeight="1">
      <c r="A111" s="12">
        <v>109</v>
      </c>
      <c r="B111" s="12">
        <v>18</v>
      </c>
      <c r="C111" s="13" t="s">
        <v>22</v>
      </c>
      <c r="D111" s="14" t="str">
        <f>"2020163005"</f>
        <v>2020163005</v>
      </c>
      <c r="E111" s="14" t="str">
        <f>"30"</f>
        <v>30</v>
      </c>
      <c r="F111" s="14" t="str">
        <f>"05"</f>
        <v>05</v>
      </c>
      <c r="G111" s="14">
        <v>77</v>
      </c>
      <c r="H111" s="14">
        <v>84</v>
      </c>
      <c r="I111" s="19">
        <f t="shared" si="2"/>
        <v>81.2</v>
      </c>
      <c r="J111" s="16">
        <v>79.8</v>
      </c>
      <c r="K111" s="16">
        <f t="shared" si="3"/>
        <v>80.22</v>
      </c>
      <c r="L111" s="20">
        <v>5</v>
      </c>
      <c r="M111" s="18"/>
    </row>
    <row r="112" spans="1:13" s="1" customFormat="1" ht="32.1" customHeight="1">
      <c r="A112" s="12">
        <v>110</v>
      </c>
      <c r="B112" s="12">
        <v>19</v>
      </c>
      <c r="C112" s="13" t="s">
        <v>22</v>
      </c>
      <c r="D112" s="14" t="str">
        <f>"2020163107"</f>
        <v>2020163107</v>
      </c>
      <c r="E112" s="14" t="str">
        <f>"31"</f>
        <v>31</v>
      </c>
      <c r="F112" s="14" t="str">
        <f>"07"</f>
        <v>07</v>
      </c>
      <c r="G112" s="14">
        <v>72</v>
      </c>
      <c r="H112" s="14">
        <v>78</v>
      </c>
      <c r="I112" s="19">
        <f t="shared" si="2"/>
        <v>75.599999999999994</v>
      </c>
      <c r="J112" s="16">
        <v>82</v>
      </c>
      <c r="K112" s="16">
        <f t="shared" si="3"/>
        <v>80.08</v>
      </c>
      <c r="L112" s="20">
        <v>5</v>
      </c>
      <c r="M112" s="18"/>
    </row>
    <row r="113" spans="1:13" s="1" customFormat="1" ht="32.1" customHeight="1">
      <c r="A113" s="12">
        <v>111</v>
      </c>
      <c r="B113" s="12">
        <v>20</v>
      </c>
      <c r="C113" s="13" t="s">
        <v>22</v>
      </c>
      <c r="D113" s="14" t="str">
        <f>"2020162927"</f>
        <v>2020162927</v>
      </c>
      <c r="E113" s="14" t="str">
        <f>"29"</f>
        <v>29</v>
      </c>
      <c r="F113" s="14" t="str">
        <f>"27"</f>
        <v>27</v>
      </c>
      <c r="G113" s="14">
        <v>73</v>
      </c>
      <c r="H113" s="14">
        <v>82</v>
      </c>
      <c r="I113" s="19">
        <f t="shared" si="2"/>
        <v>78.400000000000006</v>
      </c>
      <c r="J113" s="16">
        <v>80.400000000000006</v>
      </c>
      <c r="K113" s="16">
        <f t="shared" si="3"/>
        <v>79.8</v>
      </c>
      <c r="L113" s="20">
        <v>5</v>
      </c>
      <c r="M113" s="18"/>
    </row>
    <row r="114" spans="1:13" s="1" customFormat="1" ht="32.1" customHeight="1">
      <c r="A114" s="12">
        <v>112</v>
      </c>
      <c r="B114" s="12">
        <v>21</v>
      </c>
      <c r="C114" s="13" t="s">
        <v>22</v>
      </c>
      <c r="D114" s="14" t="str">
        <f>"2020163104"</f>
        <v>2020163104</v>
      </c>
      <c r="E114" s="14" t="str">
        <f>"31"</f>
        <v>31</v>
      </c>
      <c r="F114" s="14" t="str">
        <f>"04"</f>
        <v>04</v>
      </c>
      <c r="G114" s="14">
        <v>67</v>
      </c>
      <c r="H114" s="14">
        <v>81</v>
      </c>
      <c r="I114" s="19">
        <f t="shared" si="2"/>
        <v>75.400000000000006</v>
      </c>
      <c r="J114" s="16">
        <v>81.400000000000006</v>
      </c>
      <c r="K114" s="16">
        <f t="shared" si="3"/>
        <v>79.599999999999994</v>
      </c>
      <c r="L114" s="20">
        <v>5</v>
      </c>
      <c r="M114" s="18"/>
    </row>
    <row r="115" spans="1:13" s="1" customFormat="1" ht="32.1" customHeight="1">
      <c r="A115" s="12">
        <v>113</v>
      </c>
      <c r="B115" s="12">
        <v>22</v>
      </c>
      <c r="C115" s="13" t="s">
        <v>23</v>
      </c>
      <c r="D115" s="14" t="str">
        <f>"2020173305"</f>
        <v>2020173305</v>
      </c>
      <c r="E115" s="14" t="str">
        <f>"33"</f>
        <v>33</v>
      </c>
      <c r="F115" s="14" t="str">
        <f>"05"</f>
        <v>05</v>
      </c>
      <c r="G115" s="14">
        <v>71</v>
      </c>
      <c r="H115" s="14">
        <v>77.5</v>
      </c>
      <c r="I115" s="19">
        <f t="shared" si="2"/>
        <v>74.900000000000006</v>
      </c>
      <c r="J115" s="16">
        <v>81.8</v>
      </c>
      <c r="K115" s="16">
        <f t="shared" si="3"/>
        <v>79.73</v>
      </c>
      <c r="L115" s="20">
        <v>5</v>
      </c>
      <c r="M115" s="18"/>
    </row>
    <row r="116" spans="1:13" s="1" customFormat="1" ht="32.1" customHeight="1">
      <c r="A116" s="12">
        <v>114</v>
      </c>
      <c r="B116" s="12">
        <v>1</v>
      </c>
      <c r="C116" s="13" t="s">
        <v>23</v>
      </c>
      <c r="D116" s="14" t="str">
        <f>"2020173314"</f>
        <v>2020173314</v>
      </c>
      <c r="E116" s="14" t="str">
        <f>"33"</f>
        <v>33</v>
      </c>
      <c r="F116" s="14" t="str">
        <f>"14"</f>
        <v>14</v>
      </c>
      <c r="G116" s="14">
        <v>81</v>
      </c>
      <c r="H116" s="14">
        <v>70</v>
      </c>
      <c r="I116" s="19">
        <f t="shared" si="2"/>
        <v>74.400000000000006</v>
      </c>
      <c r="J116" s="16">
        <v>81.599999999999994</v>
      </c>
      <c r="K116" s="16">
        <f t="shared" si="3"/>
        <v>79.44</v>
      </c>
      <c r="L116" s="20">
        <v>6</v>
      </c>
      <c r="M116" s="18"/>
    </row>
    <row r="117" spans="1:13" s="1" customFormat="1" ht="32.1" customHeight="1">
      <c r="A117" s="12">
        <v>115</v>
      </c>
      <c r="B117" s="12">
        <v>2</v>
      </c>
      <c r="C117" s="13" t="s">
        <v>23</v>
      </c>
      <c r="D117" s="14" t="str">
        <f>"2020173221"</f>
        <v>2020173221</v>
      </c>
      <c r="E117" s="14" t="str">
        <f>"32"</f>
        <v>32</v>
      </c>
      <c r="F117" s="14" t="str">
        <f>"21"</f>
        <v>21</v>
      </c>
      <c r="G117" s="14">
        <v>87</v>
      </c>
      <c r="H117" s="14">
        <v>68.5</v>
      </c>
      <c r="I117" s="19">
        <f t="shared" si="2"/>
        <v>75.900000000000006</v>
      </c>
      <c r="J117" s="16">
        <v>80.599999999999994</v>
      </c>
      <c r="K117" s="16">
        <f t="shared" si="3"/>
        <v>79.19</v>
      </c>
      <c r="L117" s="20">
        <v>6</v>
      </c>
      <c r="M117" s="18"/>
    </row>
    <row r="118" spans="1:13" s="1" customFormat="1" ht="32.1" customHeight="1">
      <c r="A118" s="12">
        <v>116</v>
      </c>
      <c r="B118" s="12">
        <v>3</v>
      </c>
      <c r="C118" s="13" t="s">
        <v>23</v>
      </c>
      <c r="D118" s="14" t="str">
        <f>"2020173206"</f>
        <v>2020173206</v>
      </c>
      <c r="E118" s="14" t="str">
        <f>"32"</f>
        <v>32</v>
      </c>
      <c r="F118" s="14" t="str">
        <f>"06"</f>
        <v>06</v>
      </c>
      <c r="G118" s="14">
        <v>76</v>
      </c>
      <c r="H118" s="14">
        <v>67</v>
      </c>
      <c r="I118" s="19">
        <f t="shared" si="2"/>
        <v>70.599999999999994</v>
      </c>
      <c r="J118" s="16">
        <v>82.8</v>
      </c>
      <c r="K118" s="16">
        <f t="shared" si="3"/>
        <v>79.14</v>
      </c>
      <c r="L118" s="20">
        <v>6</v>
      </c>
      <c r="M118" s="18"/>
    </row>
    <row r="119" spans="1:13" s="1" customFormat="1" ht="32.1" customHeight="1">
      <c r="A119" s="12">
        <v>117</v>
      </c>
      <c r="B119" s="12">
        <v>4</v>
      </c>
      <c r="C119" s="13" t="s">
        <v>23</v>
      </c>
      <c r="D119" s="14" t="str">
        <f>"2020173222"</f>
        <v>2020173222</v>
      </c>
      <c r="E119" s="14" t="str">
        <f>"32"</f>
        <v>32</v>
      </c>
      <c r="F119" s="14" t="str">
        <f>"22"</f>
        <v>22</v>
      </c>
      <c r="G119" s="14">
        <v>75</v>
      </c>
      <c r="H119" s="14">
        <v>77</v>
      </c>
      <c r="I119" s="19">
        <f t="shared" si="2"/>
        <v>76.2</v>
      </c>
      <c r="J119" s="16">
        <v>79.400000000000006</v>
      </c>
      <c r="K119" s="16">
        <f t="shared" si="3"/>
        <v>78.44</v>
      </c>
      <c r="L119" s="20">
        <v>6</v>
      </c>
      <c r="M119" s="18"/>
    </row>
    <row r="120" spans="1:13" s="1" customFormat="1" ht="32.1" customHeight="1">
      <c r="A120" s="12">
        <v>118</v>
      </c>
      <c r="B120" s="12">
        <v>5</v>
      </c>
      <c r="C120" s="13" t="s">
        <v>23</v>
      </c>
      <c r="D120" s="14" t="str">
        <f>"2020173218"</f>
        <v>2020173218</v>
      </c>
      <c r="E120" s="14" t="str">
        <f>"32"</f>
        <v>32</v>
      </c>
      <c r="F120" s="14" t="str">
        <f>"18"</f>
        <v>18</v>
      </c>
      <c r="G120" s="14">
        <v>75</v>
      </c>
      <c r="H120" s="14">
        <v>66.5</v>
      </c>
      <c r="I120" s="19">
        <f t="shared" si="2"/>
        <v>69.900000000000006</v>
      </c>
      <c r="J120" s="16">
        <v>81.8</v>
      </c>
      <c r="K120" s="16">
        <f t="shared" si="3"/>
        <v>78.23</v>
      </c>
      <c r="L120" s="20">
        <v>6</v>
      </c>
      <c r="M120" s="18"/>
    </row>
    <row r="121" spans="1:13" s="1" customFormat="1" ht="32.1" customHeight="1">
      <c r="A121" s="12">
        <v>119</v>
      </c>
      <c r="B121" s="12">
        <v>6</v>
      </c>
      <c r="C121" s="13" t="s">
        <v>23</v>
      </c>
      <c r="D121" s="14" t="str">
        <f>"2020173318"</f>
        <v>2020173318</v>
      </c>
      <c r="E121" s="14" t="str">
        <f>"33"</f>
        <v>33</v>
      </c>
      <c r="F121" s="14" t="str">
        <f>"18"</f>
        <v>18</v>
      </c>
      <c r="G121" s="14">
        <v>82</v>
      </c>
      <c r="H121" s="14">
        <v>53</v>
      </c>
      <c r="I121" s="19">
        <f t="shared" si="2"/>
        <v>64.599999999999994</v>
      </c>
      <c r="J121" s="16">
        <v>82.8</v>
      </c>
      <c r="K121" s="16">
        <f t="shared" si="3"/>
        <v>77.34</v>
      </c>
      <c r="L121" s="20">
        <v>6</v>
      </c>
      <c r="M121" s="18"/>
    </row>
    <row r="122" spans="1:13" s="1" customFormat="1" ht="32.1" customHeight="1">
      <c r="A122" s="12">
        <v>120</v>
      </c>
      <c r="B122" s="12">
        <v>7</v>
      </c>
      <c r="C122" s="13" t="s">
        <v>23</v>
      </c>
      <c r="D122" s="14" t="str">
        <f>"2020173321"</f>
        <v>2020173321</v>
      </c>
      <c r="E122" s="14" t="str">
        <f>"33"</f>
        <v>33</v>
      </c>
      <c r="F122" s="14" t="str">
        <f>"21"</f>
        <v>21</v>
      </c>
      <c r="G122" s="14">
        <v>76</v>
      </c>
      <c r="H122" s="14">
        <v>64</v>
      </c>
      <c r="I122" s="19">
        <f t="shared" si="2"/>
        <v>68.8</v>
      </c>
      <c r="J122" s="16">
        <v>81</v>
      </c>
      <c r="K122" s="16">
        <f t="shared" si="3"/>
        <v>77.34</v>
      </c>
      <c r="L122" s="20">
        <v>6</v>
      </c>
      <c r="M122" s="18"/>
    </row>
    <row r="123" spans="1:13" s="1" customFormat="1" ht="32.1" customHeight="1">
      <c r="A123" s="12">
        <v>121</v>
      </c>
      <c r="B123" s="12">
        <v>8</v>
      </c>
      <c r="C123" s="13" t="s">
        <v>23</v>
      </c>
      <c r="D123" s="14" t="str">
        <f>"2020173313"</f>
        <v>2020173313</v>
      </c>
      <c r="E123" s="14" t="str">
        <f>"33"</f>
        <v>33</v>
      </c>
      <c r="F123" s="14" t="str">
        <f>"13"</f>
        <v>13</v>
      </c>
      <c r="G123" s="14">
        <v>76</v>
      </c>
      <c r="H123" s="14">
        <v>53</v>
      </c>
      <c r="I123" s="19">
        <f t="shared" si="2"/>
        <v>62.2</v>
      </c>
      <c r="J123" s="16">
        <v>83.4</v>
      </c>
      <c r="K123" s="16">
        <f t="shared" si="3"/>
        <v>77.040000000000006</v>
      </c>
      <c r="L123" s="20">
        <v>6</v>
      </c>
      <c r="M123" s="18"/>
    </row>
    <row r="124" spans="1:13" s="1" customFormat="1" ht="32.1" customHeight="1">
      <c r="A124" s="12">
        <v>122</v>
      </c>
      <c r="B124" s="12">
        <v>9</v>
      </c>
      <c r="C124" s="13" t="s">
        <v>23</v>
      </c>
      <c r="D124" s="14" t="str">
        <f>"2020173112"</f>
        <v>2020173112</v>
      </c>
      <c r="E124" s="14" t="str">
        <f>"31"</f>
        <v>31</v>
      </c>
      <c r="F124" s="14" t="str">
        <f>"12"</f>
        <v>12</v>
      </c>
      <c r="G124" s="14">
        <v>74</v>
      </c>
      <c r="H124" s="14">
        <v>65.5</v>
      </c>
      <c r="I124" s="19">
        <f t="shared" si="2"/>
        <v>68.900000000000006</v>
      </c>
      <c r="J124" s="16">
        <v>80.400000000000006</v>
      </c>
      <c r="K124" s="16">
        <f t="shared" si="3"/>
        <v>76.95</v>
      </c>
      <c r="L124" s="20">
        <v>6</v>
      </c>
      <c r="M124" s="18"/>
    </row>
    <row r="125" spans="1:13" s="1" customFormat="1" ht="32.1" customHeight="1">
      <c r="A125" s="12">
        <v>123</v>
      </c>
      <c r="B125" s="12">
        <v>10</v>
      </c>
      <c r="C125" s="13" t="s">
        <v>23</v>
      </c>
      <c r="D125" s="14" t="str">
        <f>"2020173115"</f>
        <v>2020173115</v>
      </c>
      <c r="E125" s="14" t="str">
        <f>"31"</f>
        <v>31</v>
      </c>
      <c r="F125" s="14" t="str">
        <f>"15"</f>
        <v>15</v>
      </c>
      <c r="G125" s="14">
        <v>71</v>
      </c>
      <c r="H125" s="14">
        <v>73.5</v>
      </c>
      <c r="I125" s="19">
        <f t="shared" si="2"/>
        <v>72.5</v>
      </c>
      <c r="J125" s="16">
        <v>77.8</v>
      </c>
      <c r="K125" s="16">
        <f t="shared" si="3"/>
        <v>76.209999999999994</v>
      </c>
      <c r="L125" s="20">
        <v>6</v>
      </c>
      <c r="M125" s="18"/>
    </row>
    <row r="126" spans="1:13" s="1" customFormat="1" ht="32.1" customHeight="1">
      <c r="A126" s="12">
        <v>124</v>
      </c>
      <c r="B126" s="12">
        <v>11</v>
      </c>
      <c r="C126" s="13" t="s">
        <v>23</v>
      </c>
      <c r="D126" s="14" t="str">
        <f>"2020173119"</f>
        <v>2020173119</v>
      </c>
      <c r="E126" s="14" t="str">
        <f>"31"</f>
        <v>31</v>
      </c>
      <c r="F126" s="14" t="str">
        <f>"19"</f>
        <v>19</v>
      </c>
      <c r="G126" s="14">
        <v>80</v>
      </c>
      <c r="H126" s="14">
        <v>62.5</v>
      </c>
      <c r="I126" s="19">
        <f t="shared" si="2"/>
        <v>69.5</v>
      </c>
      <c r="J126" s="16">
        <v>78.400000000000006</v>
      </c>
      <c r="K126" s="16">
        <f t="shared" si="3"/>
        <v>75.73</v>
      </c>
      <c r="L126" s="20">
        <v>6</v>
      </c>
      <c r="M126" s="18"/>
    </row>
    <row r="127" spans="1:13" s="1" customFormat="1" ht="32.1" customHeight="1">
      <c r="A127" s="12">
        <v>125</v>
      </c>
      <c r="B127" s="12">
        <v>12</v>
      </c>
      <c r="C127" s="13" t="s">
        <v>23</v>
      </c>
      <c r="D127" s="14" t="str">
        <f>"2020173309"</f>
        <v>2020173309</v>
      </c>
      <c r="E127" s="14" t="str">
        <f>"33"</f>
        <v>33</v>
      </c>
      <c r="F127" s="14" t="str">
        <f>"09"</f>
        <v>09</v>
      </c>
      <c r="G127" s="14">
        <v>78</v>
      </c>
      <c r="H127" s="14">
        <v>63.5</v>
      </c>
      <c r="I127" s="19">
        <f t="shared" si="2"/>
        <v>69.3</v>
      </c>
      <c r="J127" s="16">
        <v>78.400000000000006</v>
      </c>
      <c r="K127" s="16">
        <f t="shared" si="3"/>
        <v>75.67</v>
      </c>
      <c r="L127" s="20">
        <v>6</v>
      </c>
      <c r="M127" s="18"/>
    </row>
    <row r="128" spans="1:13" s="1" customFormat="1" ht="32.1" customHeight="1">
      <c r="A128" s="12">
        <v>126</v>
      </c>
      <c r="B128" s="12">
        <v>13</v>
      </c>
      <c r="C128" s="13" t="s">
        <v>23</v>
      </c>
      <c r="D128" s="14" t="str">
        <f>"2020173214"</f>
        <v>2020173214</v>
      </c>
      <c r="E128" s="14" t="str">
        <f>"32"</f>
        <v>32</v>
      </c>
      <c r="F128" s="14" t="str">
        <f>"14"</f>
        <v>14</v>
      </c>
      <c r="G128" s="14">
        <v>80</v>
      </c>
      <c r="H128" s="14">
        <v>54</v>
      </c>
      <c r="I128" s="19">
        <f t="shared" si="2"/>
        <v>64.400000000000006</v>
      </c>
      <c r="J128" s="16">
        <v>80.2</v>
      </c>
      <c r="K128" s="16">
        <f t="shared" si="3"/>
        <v>75.459999999999994</v>
      </c>
      <c r="L128" s="20">
        <v>6</v>
      </c>
      <c r="M128" s="18"/>
    </row>
    <row r="129" spans="1:13" s="1" customFormat="1" ht="32.1" customHeight="1">
      <c r="A129" s="12">
        <v>127</v>
      </c>
      <c r="B129" s="12">
        <v>14</v>
      </c>
      <c r="C129" s="13" t="s">
        <v>24</v>
      </c>
      <c r="D129" s="14" t="str">
        <f>"2020183619"</f>
        <v>2020183619</v>
      </c>
      <c r="E129" s="14" t="str">
        <f>"36"</f>
        <v>36</v>
      </c>
      <c r="F129" s="14" t="str">
        <f>"19"</f>
        <v>19</v>
      </c>
      <c r="G129" s="14">
        <v>61</v>
      </c>
      <c r="H129" s="14">
        <v>64</v>
      </c>
      <c r="I129" s="19">
        <f t="shared" si="2"/>
        <v>62.8</v>
      </c>
      <c r="J129" s="16">
        <v>80.599999999999994</v>
      </c>
      <c r="K129" s="16">
        <f t="shared" si="3"/>
        <v>75.260000000000005</v>
      </c>
      <c r="L129" s="20">
        <v>6</v>
      </c>
      <c r="M129" s="18"/>
    </row>
    <row r="130" spans="1:13" s="1" customFormat="1" ht="32.1" customHeight="1">
      <c r="A130" s="12">
        <v>128</v>
      </c>
      <c r="B130" s="12">
        <v>15</v>
      </c>
      <c r="C130" s="13" t="s">
        <v>24</v>
      </c>
      <c r="D130" s="14" t="str">
        <f>"2020183621"</f>
        <v>2020183621</v>
      </c>
      <c r="E130" s="14" t="str">
        <f>"36"</f>
        <v>36</v>
      </c>
      <c r="F130" s="14" t="str">
        <f>"21"</f>
        <v>21</v>
      </c>
      <c r="G130" s="14">
        <v>40</v>
      </c>
      <c r="H130" s="14">
        <v>65.5</v>
      </c>
      <c r="I130" s="19">
        <f t="shared" si="2"/>
        <v>55.3</v>
      </c>
      <c r="J130" s="16">
        <v>75.8</v>
      </c>
      <c r="K130" s="16">
        <f t="shared" si="3"/>
        <v>69.650000000000006</v>
      </c>
      <c r="L130" s="20">
        <v>6</v>
      </c>
      <c r="M130" s="18"/>
    </row>
    <row r="131" spans="1:13" s="1" customFormat="1" ht="32.1" customHeight="1">
      <c r="A131" s="12">
        <v>129</v>
      </c>
      <c r="B131" s="12">
        <v>16</v>
      </c>
      <c r="C131" s="13" t="s">
        <v>25</v>
      </c>
      <c r="D131" s="14" t="str">
        <f>"2020193704"</f>
        <v>2020193704</v>
      </c>
      <c r="E131" s="14" t="str">
        <f>"37"</f>
        <v>37</v>
      </c>
      <c r="F131" s="14" t="str">
        <f>"04"</f>
        <v>04</v>
      </c>
      <c r="G131" s="14">
        <v>79</v>
      </c>
      <c r="H131" s="14">
        <v>68.5</v>
      </c>
      <c r="I131" s="19">
        <f t="shared" ref="I131:I138" si="4">G131*0.4+H131*0.6</f>
        <v>72.7</v>
      </c>
      <c r="J131" s="16">
        <v>81</v>
      </c>
      <c r="K131" s="16">
        <f t="shared" ref="K131:K138" si="5">I131*0.3+J131*0.7</f>
        <v>78.510000000000005</v>
      </c>
      <c r="L131" s="20">
        <v>6</v>
      </c>
      <c r="M131" s="18"/>
    </row>
    <row r="132" spans="1:13" s="1" customFormat="1" ht="32.1" customHeight="1">
      <c r="A132" s="12">
        <v>130</v>
      </c>
      <c r="B132" s="12">
        <v>17</v>
      </c>
      <c r="C132" s="13" t="s">
        <v>25</v>
      </c>
      <c r="D132" s="14" t="str">
        <f>"2020193402"</f>
        <v>2020193402</v>
      </c>
      <c r="E132" s="14" t="str">
        <f>"34"</f>
        <v>34</v>
      </c>
      <c r="F132" s="14" t="str">
        <f>"02"</f>
        <v>02</v>
      </c>
      <c r="G132" s="14">
        <v>73</v>
      </c>
      <c r="H132" s="14">
        <v>67</v>
      </c>
      <c r="I132" s="19">
        <f t="shared" si="4"/>
        <v>69.400000000000006</v>
      </c>
      <c r="J132" s="16">
        <v>79.8</v>
      </c>
      <c r="K132" s="16">
        <f t="shared" si="5"/>
        <v>76.680000000000007</v>
      </c>
      <c r="L132" s="20">
        <v>6</v>
      </c>
      <c r="M132" s="18"/>
    </row>
    <row r="133" spans="1:13" s="1" customFormat="1" ht="32.1" customHeight="1">
      <c r="A133" s="12">
        <v>131</v>
      </c>
      <c r="B133" s="12">
        <v>18</v>
      </c>
      <c r="C133" s="13" t="s">
        <v>25</v>
      </c>
      <c r="D133" s="14" t="str">
        <f>"2020193427"</f>
        <v>2020193427</v>
      </c>
      <c r="E133" s="14" t="str">
        <f>"34"</f>
        <v>34</v>
      </c>
      <c r="F133" s="14" t="str">
        <f>"27"</f>
        <v>27</v>
      </c>
      <c r="G133" s="14">
        <v>74</v>
      </c>
      <c r="H133" s="14">
        <v>67.5</v>
      </c>
      <c r="I133" s="19">
        <f t="shared" si="4"/>
        <v>70.099999999999994</v>
      </c>
      <c r="J133" s="16">
        <v>78.8</v>
      </c>
      <c r="K133" s="16">
        <f t="shared" si="5"/>
        <v>76.19</v>
      </c>
      <c r="L133" s="20">
        <v>6</v>
      </c>
      <c r="M133" s="18"/>
    </row>
    <row r="134" spans="1:13" s="1" customFormat="1" ht="32.1" customHeight="1">
      <c r="A134" s="12">
        <v>132</v>
      </c>
      <c r="B134" s="12">
        <v>19</v>
      </c>
      <c r="C134" s="13" t="s">
        <v>25</v>
      </c>
      <c r="D134" s="14" t="str">
        <f>"2020193423"</f>
        <v>2020193423</v>
      </c>
      <c r="E134" s="14" t="str">
        <f>"34"</f>
        <v>34</v>
      </c>
      <c r="F134" s="14" t="str">
        <f>"23"</f>
        <v>23</v>
      </c>
      <c r="G134" s="14">
        <v>66</v>
      </c>
      <c r="H134" s="14">
        <v>69.5</v>
      </c>
      <c r="I134" s="19">
        <f t="shared" si="4"/>
        <v>68.099999999999994</v>
      </c>
      <c r="J134" s="16">
        <v>77</v>
      </c>
      <c r="K134" s="16">
        <f t="shared" si="5"/>
        <v>74.33</v>
      </c>
      <c r="L134" s="20">
        <v>6</v>
      </c>
      <c r="M134" s="18"/>
    </row>
    <row r="135" spans="1:13" s="1" customFormat="1" ht="32.1" customHeight="1">
      <c r="A135" s="12">
        <v>133</v>
      </c>
      <c r="B135" s="12">
        <v>20</v>
      </c>
      <c r="C135" s="13" t="s">
        <v>25</v>
      </c>
      <c r="D135" s="14" t="str">
        <f>"2020193707"</f>
        <v>2020193707</v>
      </c>
      <c r="E135" s="14" t="str">
        <f>"37"</f>
        <v>37</v>
      </c>
      <c r="F135" s="14" t="str">
        <f>"07"</f>
        <v>07</v>
      </c>
      <c r="G135" s="14">
        <v>63</v>
      </c>
      <c r="H135" s="14">
        <v>62.5</v>
      </c>
      <c r="I135" s="19">
        <f t="shared" si="4"/>
        <v>62.7</v>
      </c>
      <c r="J135" s="16">
        <v>78.2</v>
      </c>
      <c r="K135" s="16">
        <f t="shared" si="5"/>
        <v>73.55</v>
      </c>
      <c r="L135" s="20">
        <v>6</v>
      </c>
      <c r="M135" s="18"/>
    </row>
    <row r="136" spans="1:13" s="1" customFormat="1" ht="32.1" customHeight="1">
      <c r="A136" s="12">
        <v>134</v>
      </c>
      <c r="B136" s="12">
        <v>21</v>
      </c>
      <c r="C136" s="13" t="s">
        <v>32</v>
      </c>
      <c r="D136" s="14" t="str">
        <f>"2020203502"</f>
        <v>2020203502</v>
      </c>
      <c r="E136" s="14" t="str">
        <f>"35"</f>
        <v>35</v>
      </c>
      <c r="F136" s="14" t="str">
        <f>"02"</f>
        <v>02</v>
      </c>
      <c r="G136" s="14">
        <v>85</v>
      </c>
      <c r="H136" s="14">
        <v>83</v>
      </c>
      <c r="I136" s="19">
        <f t="shared" si="4"/>
        <v>83.8</v>
      </c>
      <c r="J136" s="16">
        <v>80.2</v>
      </c>
      <c r="K136" s="16">
        <f t="shared" si="5"/>
        <v>81.28</v>
      </c>
      <c r="L136" s="20">
        <v>6</v>
      </c>
      <c r="M136" s="18"/>
    </row>
    <row r="137" spans="1:13" s="1" customFormat="1" ht="32.1" customHeight="1">
      <c r="A137" s="12">
        <v>135</v>
      </c>
      <c r="B137" s="12">
        <v>22</v>
      </c>
      <c r="C137" s="13" t="s">
        <v>32</v>
      </c>
      <c r="D137" s="14" t="str">
        <f>"2020203514"</f>
        <v>2020203514</v>
      </c>
      <c r="E137" s="14" t="str">
        <f>"35"</f>
        <v>35</v>
      </c>
      <c r="F137" s="14" t="str">
        <f>"14"</f>
        <v>14</v>
      </c>
      <c r="G137" s="14">
        <v>81</v>
      </c>
      <c r="H137" s="14">
        <v>74</v>
      </c>
      <c r="I137" s="19">
        <f t="shared" si="4"/>
        <v>76.8</v>
      </c>
      <c r="J137" s="16">
        <v>78.8</v>
      </c>
      <c r="K137" s="16">
        <f t="shared" si="5"/>
        <v>78.2</v>
      </c>
      <c r="L137" s="20">
        <v>6</v>
      </c>
      <c r="M137" s="18"/>
    </row>
    <row r="138" spans="1:13" s="1" customFormat="1" ht="32.1" customHeight="1">
      <c r="A138" s="12">
        <v>136</v>
      </c>
      <c r="B138" s="12">
        <v>23</v>
      </c>
      <c r="C138" s="13" t="s">
        <v>33</v>
      </c>
      <c r="D138" s="14" t="str">
        <f>"2020213720"</f>
        <v>2020213720</v>
      </c>
      <c r="E138" s="14" t="str">
        <f>"37"</f>
        <v>37</v>
      </c>
      <c r="F138" s="14" t="str">
        <f>"20"</f>
        <v>20</v>
      </c>
      <c r="G138" s="14">
        <v>61</v>
      </c>
      <c r="H138" s="14">
        <v>65</v>
      </c>
      <c r="I138" s="19">
        <f t="shared" si="4"/>
        <v>63.4</v>
      </c>
      <c r="J138" s="16">
        <v>83.6</v>
      </c>
      <c r="K138" s="16">
        <f t="shared" si="5"/>
        <v>77.540000000000006</v>
      </c>
      <c r="L138" s="20">
        <v>6</v>
      </c>
      <c r="M138" s="18"/>
    </row>
    <row r="139" spans="1:13" s="1" customFormat="1" ht="32.1" customHeight="1">
      <c r="A139" s="12">
        <v>137</v>
      </c>
      <c r="B139" s="12">
        <v>1</v>
      </c>
      <c r="C139" s="13" t="s">
        <v>34</v>
      </c>
      <c r="D139" s="14" t="str">
        <f>"2020230225"</f>
        <v>2020230225</v>
      </c>
      <c r="E139" s="14" t="str">
        <f>"02"</f>
        <v>02</v>
      </c>
      <c r="F139" s="14" t="str">
        <f>"25"</f>
        <v>25</v>
      </c>
      <c r="G139" s="14">
        <v>78</v>
      </c>
      <c r="H139" s="14">
        <v>84</v>
      </c>
      <c r="I139" s="19">
        <f t="shared" ref="I139:I165" si="6">G139*0.4+H139*0.6</f>
        <v>81.599999999999994</v>
      </c>
      <c r="J139" s="16">
        <v>79.400000000000006</v>
      </c>
      <c r="K139" s="16">
        <f t="shared" ref="K139:K165" si="7">I139*0.3+J139*0.7</f>
        <v>80.06</v>
      </c>
      <c r="L139" s="20">
        <v>7</v>
      </c>
      <c r="M139" s="18"/>
    </row>
    <row r="140" spans="1:13" s="1" customFormat="1" ht="32.1" customHeight="1">
      <c r="A140" s="12">
        <v>138</v>
      </c>
      <c r="B140" s="12">
        <v>2</v>
      </c>
      <c r="C140" s="13" t="s">
        <v>34</v>
      </c>
      <c r="D140" s="14" t="str">
        <f>"2020230117"</f>
        <v>2020230117</v>
      </c>
      <c r="E140" s="14" t="str">
        <f>"01"</f>
        <v>01</v>
      </c>
      <c r="F140" s="14" t="str">
        <f>"17"</f>
        <v>17</v>
      </c>
      <c r="G140" s="14">
        <v>76</v>
      </c>
      <c r="H140" s="14">
        <v>70</v>
      </c>
      <c r="I140" s="19">
        <f t="shared" si="6"/>
        <v>72.400000000000006</v>
      </c>
      <c r="J140" s="16">
        <v>81.8</v>
      </c>
      <c r="K140" s="16">
        <f t="shared" si="7"/>
        <v>78.98</v>
      </c>
      <c r="L140" s="20">
        <v>7</v>
      </c>
      <c r="M140" s="18"/>
    </row>
    <row r="141" spans="1:13" s="1" customFormat="1" ht="32.1" customHeight="1">
      <c r="A141" s="12">
        <v>139</v>
      </c>
      <c r="B141" s="12">
        <v>3</v>
      </c>
      <c r="C141" s="13" t="s">
        <v>34</v>
      </c>
      <c r="D141" s="14" t="str">
        <f>"2020230222"</f>
        <v>2020230222</v>
      </c>
      <c r="E141" s="14" t="str">
        <f>"02"</f>
        <v>02</v>
      </c>
      <c r="F141" s="14" t="str">
        <f>"22"</f>
        <v>22</v>
      </c>
      <c r="G141" s="14">
        <v>60</v>
      </c>
      <c r="H141" s="14">
        <v>72</v>
      </c>
      <c r="I141" s="19">
        <f t="shared" si="6"/>
        <v>67.2</v>
      </c>
      <c r="J141" s="16">
        <v>83</v>
      </c>
      <c r="K141" s="16">
        <f t="shared" si="7"/>
        <v>78.260000000000005</v>
      </c>
      <c r="L141" s="20">
        <v>7</v>
      </c>
      <c r="M141" s="18"/>
    </row>
    <row r="142" spans="1:13" s="1" customFormat="1" ht="32.1" customHeight="1">
      <c r="A142" s="12">
        <v>140</v>
      </c>
      <c r="B142" s="12">
        <v>4</v>
      </c>
      <c r="C142" s="13" t="s">
        <v>34</v>
      </c>
      <c r="D142" s="14" t="str">
        <f>"2020230216"</f>
        <v>2020230216</v>
      </c>
      <c r="E142" s="14" t="str">
        <f>"02"</f>
        <v>02</v>
      </c>
      <c r="F142" s="14" t="str">
        <f>"16"</f>
        <v>16</v>
      </c>
      <c r="G142" s="14">
        <v>80</v>
      </c>
      <c r="H142" s="14">
        <v>75</v>
      </c>
      <c r="I142" s="19">
        <f t="shared" si="6"/>
        <v>77</v>
      </c>
      <c r="J142" s="16">
        <v>78.2</v>
      </c>
      <c r="K142" s="16">
        <f t="shared" si="7"/>
        <v>77.84</v>
      </c>
      <c r="L142" s="20">
        <v>7</v>
      </c>
      <c r="M142" s="18"/>
    </row>
    <row r="143" spans="1:13" s="1" customFormat="1" ht="32.1" customHeight="1">
      <c r="A143" s="12">
        <v>141</v>
      </c>
      <c r="B143" s="12">
        <v>5</v>
      </c>
      <c r="C143" s="13" t="s">
        <v>34</v>
      </c>
      <c r="D143" s="14" t="str">
        <f>"2020230124"</f>
        <v>2020230124</v>
      </c>
      <c r="E143" s="14" t="str">
        <f>"01"</f>
        <v>01</v>
      </c>
      <c r="F143" s="14" t="str">
        <f>"24"</f>
        <v>24</v>
      </c>
      <c r="G143" s="14">
        <v>83</v>
      </c>
      <c r="H143" s="14">
        <v>73</v>
      </c>
      <c r="I143" s="19">
        <f t="shared" si="6"/>
        <v>77</v>
      </c>
      <c r="J143" s="16">
        <v>78.2</v>
      </c>
      <c r="K143" s="16">
        <f t="shared" si="7"/>
        <v>77.84</v>
      </c>
      <c r="L143" s="20">
        <v>7</v>
      </c>
      <c r="M143" s="18"/>
    </row>
    <row r="144" spans="1:13" s="1" customFormat="1" ht="32.1" customHeight="1">
      <c r="A144" s="12">
        <v>142</v>
      </c>
      <c r="B144" s="12">
        <v>6</v>
      </c>
      <c r="C144" s="13" t="s">
        <v>34</v>
      </c>
      <c r="D144" s="14" t="str">
        <f>"2020230212"</f>
        <v>2020230212</v>
      </c>
      <c r="E144" s="14" t="str">
        <f>"02"</f>
        <v>02</v>
      </c>
      <c r="F144" s="14" t="str">
        <f>"12"</f>
        <v>12</v>
      </c>
      <c r="G144" s="14">
        <v>72</v>
      </c>
      <c r="H144" s="14">
        <v>72</v>
      </c>
      <c r="I144" s="19">
        <f t="shared" si="6"/>
        <v>72</v>
      </c>
      <c r="J144" s="16">
        <v>76.2</v>
      </c>
      <c r="K144" s="16">
        <f t="shared" si="7"/>
        <v>74.94</v>
      </c>
      <c r="L144" s="20">
        <v>7</v>
      </c>
      <c r="M144" s="18"/>
    </row>
    <row r="145" spans="1:13" s="1" customFormat="1" ht="32.1" customHeight="1">
      <c r="A145" s="12">
        <v>143</v>
      </c>
      <c r="B145" s="12">
        <v>7</v>
      </c>
      <c r="C145" s="13" t="s">
        <v>34</v>
      </c>
      <c r="D145" s="14" t="str">
        <f>"2020230215"</f>
        <v>2020230215</v>
      </c>
      <c r="E145" s="14" t="str">
        <f>"02"</f>
        <v>02</v>
      </c>
      <c r="F145" s="14" t="str">
        <f>"15"</f>
        <v>15</v>
      </c>
      <c r="G145" s="14">
        <v>74</v>
      </c>
      <c r="H145" s="14">
        <v>78</v>
      </c>
      <c r="I145" s="19">
        <f t="shared" si="6"/>
        <v>76.400000000000006</v>
      </c>
      <c r="J145" s="16">
        <v>73.8</v>
      </c>
      <c r="K145" s="16">
        <f t="shared" si="7"/>
        <v>74.58</v>
      </c>
      <c r="L145" s="20">
        <v>7</v>
      </c>
      <c r="M145" s="18"/>
    </row>
    <row r="146" spans="1:13" s="1" customFormat="1" ht="32.1" customHeight="1">
      <c r="A146" s="12">
        <v>144</v>
      </c>
      <c r="B146" s="12">
        <v>8</v>
      </c>
      <c r="C146" s="13" t="s">
        <v>34</v>
      </c>
      <c r="D146" s="14" t="str">
        <f>"2020230121"</f>
        <v>2020230121</v>
      </c>
      <c r="E146" s="14" t="str">
        <f>"01"</f>
        <v>01</v>
      </c>
      <c r="F146" s="14" t="str">
        <f>"21"</f>
        <v>21</v>
      </c>
      <c r="G146" s="14">
        <v>60</v>
      </c>
      <c r="H146" s="14">
        <v>71</v>
      </c>
      <c r="I146" s="19">
        <f t="shared" si="6"/>
        <v>66.599999999999994</v>
      </c>
      <c r="J146" s="16">
        <v>77</v>
      </c>
      <c r="K146" s="16">
        <f t="shared" si="7"/>
        <v>73.88</v>
      </c>
      <c r="L146" s="20">
        <v>7</v>
      </c>
      <c r="M146" s="18"/>
    </row>
    <row r="147" spans="1:13" s="1" customFormat="1" ht="32.1" customHeight="1">
      <c r="A147" s="12">
        <v>145</v>
      </c>
      <c r="B147" s="12">
        <v>9</v>
      </c>
      <c r="C147" s="13" t="s">
        <v>34</v>
      </c>
      <c r="D147" s="14" t="str">
        <f>"2020230220"</f>
        <v>2020230220</v>
      </c>
      <c r="E147" s="14" t="str">
        <f>"02"</f>
        <v>02</v>
      </c>
      <c r="F147" s="14" t="str">
        <f>"20"</f>
        <v>20</v>
      </c>
      <c r="G147" s="14">
        <v>61</v>
      </c>
      <c r="H147" s="14">
        <v>75</v>
      </c>
      <c r="I147" s="19">
        <f t="shared" si="6"/>
        <v>69.400000000000006</v>
      </c>
      <c r="J147" s="16">
        <v>75.599999999999994</v>
      </c>
      <c r="K147" s="16">
        <f t="shared" si="7"/>
        <v>73.739999999999995</v>
      </c>
      <c r="L147" s="20">
        <v>7</v>
      </c>
      <c r="M147" s="18"/>
    </row>
    <row r="148" spans="1:13" s="1" customFormat="1" ht="32.1" customHeight="1">
      <c r="A148" s="12">
        <v>146</v>
      </c>
      <c r="B148" s="12">
        <v>10</v>
      </c>
      <c r="C148" s="13" t="s">
        <v>34</v>
      </c>
      <c r="D148" s="14" t="str">
        <f>"2020230104"</f>
        <v>2020230104</v>
      </c>
      <c r="E148" s="14" t="str">
        <f>"01"</f>
        <v>01</v>
      </c>
      <c r="F148" s="14" t="str">
        <f>"04"</f>
        <v>04</v>
      </c>
      <c r="G148" s="14">
        <v>68</v>
      </c>
      <c r="H148" s="14">
        <v>66</v>
      </c>
      <c r="I148" s="19">
        <f t="shared" si="6"/>
        <v>66.8</v>
      </c>
      <c r="J148" s="16">
        <v>75.599999999999994</v>
      </c>
      <c r="K148" s="16">
        <f t="shared" si="7"/>
        <v>72.959999999999994</v>
      </c>
      <c r="L148" s="20">
        <v>7</v>
      </c>
      <c r="M148" s="18"/>
    </row>
    <row r="149" spans="1:13" s="1" customFormat="1" ht="32.1" customHeight="1">
      <c r="A149" s="12">
        <v>147</v>
      </c>
      <c r="B149" s="12">
        <v>11</v>
      </c>
      <c r="C149" s="13" t="s">
        <v>34</v>
      </c>
      <c r="D149" s="14" t="str">
        <f>"2020230103"</f>
        <v>2020230103</v>
      </c>
      <c r="E149" s="14" t="str">
        <f>"01"</f>
        <v>01</v>
      </c>
      <c r="F149" s="14" t="str">
        <f>"03"</f>
        <v>03</v>
      </c>
      <c r="G149" s="14">
        <v>67</v>
      </c>
      <c r="H149" s="14">
        <v>73</v>
      </c>
      <c r="I149" s="19">
        <f t="shared" si="6"/>
        <v>70.599999999999994</v>
      </c>
      <c r="J149" s="16">
        <v>73.2</v>
      </c>
      <c r="K149" s="16">
        <f t="shared" si="7"/>
        <v>72.42</v>
      </c>
      <c r="L149" s="20">
        <v>7</v>
      </c>
      <c r="M149" s="18"/>
    </row>
    <row r="150" spans="1:13" s="1" customFormat="1" ht="32.1" customHeight="1">
      <c r="A150" s="12">
        <v>148</v>
      </c>
      <c r="B150" s="12">
        <v>12</v>
      </c>
      <c r="C150" s="13" t="s">
        <v>34</v>
      </c>
      <c r="D150" s="14" t="str">
        <f>"2020230213"</f>
        <v>2020230213</v>
      </c>
      <c r="E150" s="14" t="str">
        <f>"02"</f>
        <v>02</v>
      </c>
      <c r="F150" s="14" t="str">
        <f>"13"</f>
        <v>13</v>
      </c>
      <c r="G150" s="14">
        <v>65</v>
      </c>
      <c r="H150" s="14">
        <v>83</v>
      </c>
      <c r="I150" s="19">
        <f t="shared" si="6"/>
        <v>75.8</v>
      </c>
      <c r="J150" s="16">
        <v>70.599999999999994</v>
      </c>
      <c r="K150" s="16">
        <f t="shared" si="7"/>
        <v>72.16</v>
      </c>
      <c r="L150" s="20">
        <v>7</v>
      </c>
      <c r="M150" s="18"/>
    </row>
    <row r="151" spans="1:13" s="1" customFormat="1" ht="32.1" customHeight="1">
      <c r="A151" s="12">
        <v>149</v>
      </c>
      <c r="B151" s="12">
        <v>13</v>
      </c>
      <c r="C151" s="13" t="s">
        <v>34</v>
      </c>
      <c r="D151" s="14" t="str">
        <f>"2020230211"</f>
        <v>2020230211</v>
      </c>
      <c r="E151" s="14" t="str">
        <f>"02"</f>
        <v>02</v>
      </c>
      <c r="F151" s="14" t="str">
        <f>"11"</f>
        <v>11</v>
      </c>
      <c r="G151" s="14">
        <v>67</v>
      </c>
      <c r="H151" s="14">
        <v>70</v>
      </c>
      <c r="I151" s="19">
        <f t="shared" si="6"/>
        <v>68.8</v>
      </c>
      <c r="J151" s="16">
        <v>73</v>
      </c>
      <c r="K151" s="16">
        <f t="shared" si="7"/>
        <v>71.739999999999995</v>
      </c>
      <c r="L151" s="20">
        <v>7</v>
      </c>
      <c r="M151" s="18"/>
    </row>
    <row r="152" spans="1:13" s="1" customFormat="1" ht="32.1" customHeight="1">
      <c r="A152" s="12">
        <v>150</v>
      </c>
      <c r="B152" s="12">
        <v>14</v>
      </c>
      <c r="C152" s="13" t="s">
        <v>34</v>
      </c>
      <c r="D152" s="14" t="str">
        <f>"2020230206"</f>
        <v>2020230206</v>
      </c>
      <c r="E152" s="14" t="str">
        <f>"02"</f>
        <v>02</v>
      </c>
      <c r="F152" s="14" t="str">
        <f>"06"</f>
        <v>06</v>
      </c>
      <c r="G152" s="14">
        <v>81</v>
      </c>
      <c r="H152" s="14">
        <v>78</v>
      </c>
      <c r="I152" s="19">
        <f t="shared" si="6"/>
        <v>79.2</v>
      </c>
      <c r="J152" s="16">
        <v>68.400000000000006</v>
      </c>
      <c r="K152" s="16">
        <f t="shared" si="7"/>
        <v>71.64</v>
      </c>
      <c r="L152" s="20">
        <v>7</v>
      </c>
      <c r="M152" s="18"/>
    </row>
    <row r="153" spans="1:13" s="1" customFormat="1" ht="32.1" customHeight="1">
      <c r="A153" s="12">
        <v>151</v>
      </c>
      <c r="B153" s="12">
        <v>15</v>
      </c>
      <c r="C153" s="13" t="s">
        <v>35</v>
      </c>
      <c r="D153" s="14" t="str">
        <f>"2020240304"</f>
        <v>2020240304</v>
      </c>
      <c r="E153" s="14" t="str">
        <f>"03"</f>
        <v>03</v>
      </c>
      <c r="F153" s="14" t="str">
        <f>"04"</f>
        <v>04</v>
      </c>
      <c r="G153" s="14">
        <v>83</v>
      </c>
      <c r="H153" s="14">
        <v>82</v>
      </c>
      <c r="I153" s="19">
        <f t="shared" si="6"/>
        <v>82.4</v>
      </c>
      <c r="J153" s="16">
        <v>84.2</v>
      </c>
      <c r="K153" s="16">
        <f t="shared" si="7"/>
        <v>83.66</v>
      </c>
      <c r="L153" s="20">
        <v>7</v>
      </c>
      <c r="M153" s="18"/>
    </row>
    <row r="154" spans="1:13" s="1" customFormat="1" ht="32.1" customHeight="1">
      <c r="A154" s="12">
        <v>152</v>
      </c>
      <c r="B154" s="12">
        <v>16</v>
      </c>
      <c r="C154" s="13" t="s">
        <v>35</v>
      </c>
      <c r="D154" s="14" t="str">
        <f>"2020240410"</f>
        <v>2020240410</v>
      </c>
      <c r="E154" s="14" t="str">
        <f>"04"</f>
        <v>04</v>
      </c>
      <c r="F154" s="14" t="str">
        <f>"10"</f>
        <v>10</v>
      </c>
      <c r="G154" s="14">
        <v>75</v>
      </c>
      <c r="H154" s="14">
        <v>83</v>
      </c>
      <c r="I154" s="19">
        <f t="shared" si="6"/>
        <v>79.8</v>
      </c>
      <c r="J154" s="16">
        <v>82.8</v>
      </c>
      <c r="K154" s="16">
        <f t="shared" si="7"/>
        <v>81.900000000000006</v>
      </c>
      <c r="L154" s="20">
        <v>7</v>
      </c>
      <c r="M154" s="18"/>
    </row>
    <row r="155" spans="1:13" s="1" customFormat="1" ht="32.1" customHeight="1">
      <c r="A155" s="12">
        <v>153</v>
      </c>
      <c r="B155" s="12">
        <v>17</v>
      </c>
      <c r="C155" s="13" t="s">
        <v>35</v>
      </c>
      <c r="D155" s="14" t="str">
        <f>"2020240329"</f>
        <v>2020240329</v>
      </c>
      <c r="E155" s="14" t="str">
        <f>"03"</f>
        <v>03</v>
      </c>
      <c r="F155" s="14" t="str">
        <f>"29"</f>
        <v>29</v>
      </c>
      <c r="G155" s="14">
        <v>68</v>
      </c>
      <c r="H155" s="14">
        <v>70</v>
      </c>
      <c r="I155" s="19">
        <f t="shared" si="6"/>
        <v>69.2</v>
      </c>
      <c r="J155" s="16">
        <v>83.6</v>
      </c>
      <c r="K155" s="16">
        <f t="shared" si="7"/>
        <v>79.28</v>
      </c>
      <c r="L155" s="20">
        <v>7</v>
      </c>
      <c r="M155" s="18"/>
    </row>
    <row r="156" spans="1:13" s="1" customFormat="1" ht="32.1" customHeight="1">
      <c r="A156" s="12">
        <v>154</v>
      </c>
      <c r="B156" s="12">
        <v>18</v>
      </c>
      <c r="C156" s="13" t="s">
        <v>35</v>
      </c>
      <c r="D156" s="14" t="str">
        <f>"2020240312"</f>
        <v>2020240312</v>
      </c>
      <c r="E156" s="14" t="str">
        <f>"03"</f>
        <v>03</v>
      </c>
      <c r="F156" s="14" t="str">
        <f>"12"</f>
        <v>12</v>
      </c>
      <c r="G156" s="14">
        <v>79</v>
      </c>
      <c r="H156" s="14">
        <v>75</v>
      </c>
      <c r="I156" s="19">
        <f t="shared" si="6"/>
        <v>76.599999999999994</v>
      </c>
      <c r="J156" s="16">
        <v>80.2</v>
      </c>
      <c r="K156" s="16">
        <f t="shared" si="7"/>
        <v>79.12</v>
      </c>
      <c r="L156" s="20">
        <v>7</v>
      </c>
      <c r="M156" s="18"/>
    </row>
    <row r="157" spans="1:13" s="1" customFormat="1" ht="32.1" customHeight="1">
      <c r="A157" s="12">
        <v>155</v>
      </c>
      <c r="B157" s="12">
        <v>19</v>
      </c>
      <c r="C157" s="13" t="s">
        <v>35</v>
      </c>
      <c r="D157" s="14" t="str">
        <f>"2020240427"</f>
        <v>2020240427</v>
      </c>
      <c r="E157" s="14" t="str">
        <f>"04"</f>
        <v>04</v>
      </c>
      <c r="F157" s="14" t="str">
        <f>"27"</f>
        <v>27</v>
      </c>
      <c r="G157" s="14">
        <v>81</v>
      </c>
      <c r="H157" s="14">
        <v>82</v>
      </c>
      <c r="I157" s="19">
        <f t="shared" si="6"/>
        <v>81.599999999999994</v>
      </c>
      <c r="J157" s="16">
        <v>77.400000000000006</v>
      </c>
      <c r="K157" s="16">
        <f t="shared" si="7"/>
        <v>78.66</v>
      </c>
      <c r="L157" s="20">
        <v>7</v>
      </c>
      <c r="M157" s="18"/>
    </row>
    <row r="158" spans="1:13" s="1" customFormat="1" ht="32.1" customHeight="1">
      <c r="A158" s="12">
        <v>156</v>
      </c>
      <c r="B158" s="12">
        <v>20</v>
      </c>
      <c r="C158" s="13" t="s">
        <v>35</v>
      </c>
      <c r="D158" s="14" t="str">
        <f>"2020240307"</f>
        <v>2020240307</v>
      </c>
      <c r="E158" s="14" t="str">
        <f>"03"</f>
        <v>03</v>
      </c>
      <c r="F158" s="14" t="str">
        <f>"07"</f>
        <v>07</v>
      </c>
      <c r="G158" s="14">
        <v>86</v>
      </c>
      <c r="H158" s="14">
        <v>79</v>
      </c>
      <c r="I158" s="19">
        <f t="shared" si="6"/>
        <v>81.8</v>
      </c>
      <c r="J158" s="16">
        <v>76.8</v>
      </c>
      <c r="K158" s="16">
        <f t="shared" si="7"/>
        <v>78.3</v>
      </c>
      <c r="L158" s="20">
        <v>7</v>
      </c>
      <c r="M158" s="18"/>
    </row>
    <row r="159" spans="1:13" s="1" customFormat="1" ht="32.1" customHeight="1">
      <c r="A159" s="12">
        <v>157</v>
      </c>
      <c r="B159" s="12">
        <v>1</v>
      </c>
      <c r="C159" s="13" t="s">
        <v>35</v>
      </c>
      <c r="D159" s="14" t="str">
        <f>"2020240419"</f>
        <v>2020240419</v>
      </c>
      <c r="E159" s="14" t="str">
        <f>"04"</f>
        <v>04</v>
      </c>
      <c r="F159" s="14" t="str">
        <f>"19"</f>
        <v>19</v>
      </c>
      <c r="G159" s="14">
        <v>62</v>
      </c>
      <c r="H159" s="14">
        <v>72</v>
      </c>
      <c r="I159" s="19">
        <f t="shared" si="6"/>
        <v>68</v>
      </c>
      <c r="J159" s="16">
        <v>82.6</v>
      </c>
      <c r="K159" s="16">
        <f t="shared" si="7"/>
        <v>78.22</v>
      </c>
      <c r="L159" s="20">
        <v>8</v>
      </c>
      <c r="M159" s="18"/>
    </row>
    <row r="160" spans="1:13" s="1" customFormat="1" ht="32.1" customHeight="1">
      <c r="A160" s="12">
        <v>158</v>
      </c>
      <c r="B160" s="12">
        <v>2</v>
      </c>
      <c r="C160" s="13" t="s">
        <v>35</v>
      </c>
      <c r="D160" s="14" t="str">
        <f>"2020240324"</f>
        <v>2020240324</v>
      </c>
      <c r="E160" s="14" t="str">
        <f>"03"</f>
        <v>03</v>
      </c>
      <c r="F160" s="14" t="str">
        <f>"24"</f>
        <v>24</v>
      </c>
      <c r="G160" s="14">
        <v>75</v>
      </c>
      <c r="H160" s="14">
        <v>78</v>
      </c>
      <c r="I160" s="19">
        <f t="shared" si="6"/>
        <v>76.8</v>
      </c>
      <c r="J160" s="16">
        <v>78.400000000000006</v>
      </c>
      <c r="K160" s="16">
        <f t="shared" si="7"/>
        <v>77.92</v>
      </c>
      <c r="L160" s="20">
        <v>8</v>
      </c>
      <c r="M160" s="18"/>
    </row>
    <row r="161" spans="1:13" s="1" customFormat="1" ht="32.1" customHeight="1">
      <c r="A161" s="12">
        <v>159</v>
      </c>
      <c r="B161" s="12">
        <v>3</v>
      </c>
      <c r="C161" s="13" t="s">
        <v>35</v>
      </c>
      <c r="D161" s="14" t="str">
        <f>"2020240407"</f>
        <v>2020240407</v>
      </c>
      <c r="E161" s="14" t="str">
        <f>"04"</f>
        <v>04</v>
      </c>
      <c r="F161" s="14" t="str">
        <f>"07"</f>
        <v>07</v>
      </c>
      <c r="G161" s="14">
        <v>71</v>
      </c>
      <c r="H161" s="14">
        <v>73</v>
      </c>
      <c r="I161" s="19">
        <f t="shared" si="6"/>
        <v>72.2</v>
      </c>
      <c r="J161" s="16">
        <v>80</v>
      </c>
      <c r="K161" s="16">
        <f t="shared" si="7"/>
        <v>77.66</v>
      </c>
      <c r="L161" s="20">
        <v>8</v>
      </c>
      <c r="M161" s="18"/>
    </row>
    <row r="162" spans="1:13" s="1" customFormat="1" ht="32.1" customHeight="1">
      <c r="A162" s="12">
        <v>160</v>
      </c>
      <c r="B162" s="12">
        <v>4</v>
      </c>
      <c r="C162" s="13" t="s">
        <v>35</v>
      </c>
      <c r="D162" s="14" t="str">
        <f>"2020240401"</f>
        <v>2020240401</v>
      </c>
      <c r="E162" s="14" t="str">
        <f>"04"</f>
        <v>04</v>
      </c>
      <c r="F162" s="14" t="str">
        <f>"01"</f>
        <v>01</v>
      </c>
      <c r="G162" s="14">
        <v>72</v>
      </c>
      <c r="H162" s="14">
        <v>73</v>
      </c>
      <c r="I162" s="19">
        <f t="shared" si="6"/>
        <v>72.599999999999994</v>
      </c>
      <c r="J162" s="16">
        <v>79</v>
      </c>
      <c r="K162" s="16">
        <f t="shared" si="7"/>
        <v>77.08</v>
      </c>
      <c r="L162" s="20">
        <v>8</v>
      </c>
      <c r="M162" s="18"/>
    </row>
    <row r="163" spans="1:13" s="1" customFormat="1" ht="32.1" customHeight="1">
      <c r="A163" s="12">
        <v>161</v>
      </c>
      <c r="B163" s="12">
        <v>5</v>
      </c>
      <c r="C163" s="13" t="s">
        <v>35</v>
      </c>
      <c r="D163" s="14" t="str">
        <f>"2020240313"</f>
        <v>2020240313</v>
      </c>
      <c r="E163" s="14" t="str">
        <f>"03"</f>
        <v>03</v>
      </c>
      <c r="F163" s="14" t="str">
        <f>"13"</f>
        <v>13</v>
      </c>
      <c r="G163" s="14">
        <v>76</v>
      </c>
      <c r="H163" s="14">
        <v>86</v>
      </c>
      <c r="I163" s="19">
        <f t="shared" si="6"/>
        <v>82</v>
      </c>
      <c r="J163" s="16">
        <v>73.599999999999994</v>
      </c>
      <c r="K163" s="16">
        <f t="shared" si="7"/>
        <v>76.12</v>
      </c>
      <c r="L163" s="20">
        <v>8</v>
      </c>
      <c r="M163" s="18"/>
    </row>
    <row r="164" spans="1:13" s="1" customFormat="1" ht="32.1" customHeight="1">
      <c r="A164" s="12">
        <v>162</v>
      </c>
      <c r="B164" s="12">
        <v>6</v>
      </c>
      <c r="C164" s="13" t="s">
        <v>35</v>
      </c>
      <c r="D164" s="14" t="str">
        <f>"2020240402"</f>
        <v>2020240402</v>
      </c>
      <c r="E164" s="14" t="str">
        <f>"04"</f>
        <v>04</v>
      </c>
      <c r="F164" s="14" t="str">
        <f>"02"</f>
        <v>02</v>
      </c>
      <c r="G164" s="14">
        <v>68</v>
      </c>
      <c r="H164" s="14">
        <v>82</v>
      </c>
      <c r="I164" s="19">
        <f t="shared" si="6"/>
        <v>76.400000000000006</v>
      </c>
      <c r="J164" s="16">
        <v>75.8</v>
      </c>
      <c r="K164" s="16">
        <f t="shared" si="7"/>
        <v>75.98</v>
      </c>
      <c r="L164" s="20">
        <v>8</v>
      </c>
      <c r="M164" s="18"/>
    </row>
    <row r="165" spans="1:13" s="1" customFormat="1" ht="32.1" customHeight="1">
      <c r="A165" s="12">
        <v>163</v>
      </c>
      <c r="B165" s="12">
        <v>7</v>
      </c>
      <c r="C165" s="13" t="s">
        <v>35</v>
      </c>
      <c r="D165" s="14" t="str">
        <f>"2020240308"</f>
        <v>2020240308</v>
      </c>
      <c r="E165" s="14" t="str">
        <f>"03"</f>
        <v>03</v>
      </c>
      <c r="F165" s="14" t="str">
        <f>"08"</f>
        <v>08</v>
      </c>
      <c r="G165" s="14">
        <v>73</v>
      </c>
      <c r="H165" s="14">
        <v>70</v>
      </c>
      <c r="I165" s="19">
        <f t="shared" si="6"/>
        <v>71.2</v>
      </c>
      <c r="J165" s="16">
        <v>77.599999999999994</v>
      </c>
      <c r="K165" s="16">
        <f t="shared" si="7"/>
        <v>75.680000000000007</v>
      </c>
      <c r="L165" s="20">
        <v>8</v>
      </c>
      <c r="M165" s="18"/>
    </row>
    <row r="166" spans="1:13" s="1" customFormat="1" ht="32.1" customHeight="1">
      <c r="A166" s="12">
        <v>164</v>
      </c>
      <c r="B166" s="12">
        <v>8</v>
      </c>
      <c r="C166" s="13" t="s">
        <v>36</v>
      </c>
      <c r="D166" s="14" t="str">
        <f>"2020250619"</f>
        <v>2020250619</v>
      </c>
      <c r="E166" s="14" t="str">
        <f>"06"</f>
        <v>06</v>
      </c>
      <c r="F166" s="14" t="str">
        <f>"19"</f>
        <v>19</v>
      </c>
      <c r="G166" s="14">
        <v>73</v>
      </c>
      <c r="H166" s="14">
        <v>84</v>
      </c>
      <c r="I166" s="19">
        <f t="shared" ref="I166:I178" si="8">G166*0.4+H166*0.6</f>
        <v>79.599999999999994</v>
      </c>
      <c r="J166" s="16">
        <v>86.6</v>
      </c>
      <c r="K166" s="16">
        <f t="shared" ref="K166:K178" si="9">I166*0.3+J166*0.7</f>
        <v>84.5</v>
      </c>
      <c r="L166" s="20">
        <v>8</v>
      </c>
      <c r="M166" s="18"/>
    </row>
    <row r="167" spans="1:13" s="1" customFormat="1" ht="32.1" customHeight="1">
      <c r="A167" s="12">
        <v>165</v>
      </c>
      <c r="B167" s="12">
        <v>9</v>
      </c>
      <c r="C167" s="13" t="s">
        <v>36</v>
      </c>
      <c r="D167" s="14" t="str">
        <f>"2020250614"</f>
        <v>2020250614</v>
      </c>
      <c r="E167" s="14" t="str">
        <f>"06"</f>
        <v>06</v>
      </c>
      <c r="F167" s="14" t="str">
        <f>"14"</f>
        <v>14</v>
      </c>
      <c r="G167" s="14">
        <v>68</v>
      </c>
      <c r="H167" s="14">
        <v>80</v>
      </c>
      <c r="I167" s="19">
        <f t="shared" si="8"/>
        <v>75.2</v>
      </c>
      <c r="J167" s="16">
        <v>86.2</v>
      </c>
      <c r="K167" s="16">
        <f t="shared" si="9"/>
        <v>82.9</v>
      </c>
      <c r="L167" s="20">
        <v>8</v>
      </c>
      <c r="M167" s="18"/>
    </row>
    <row r="168" spans="1:13" s="1" customFormat="1" ht="32.1" customHeight="1">
      <c r="A168" s="12">
        <v>166</v>
      </c>
      <c r="B168" s="12">
        <v>10</v>
      </c>
      <c r="C168" s="13" t="s">
        <v>36</v>
      </c>
      <c r="D168" s="14" t="str">
        <f>"2020250618"</f>
        <v>2020250618</v>
      </c>
      <c r="E168" s="14" t="str">
        <f>"06"</f>
        <v>06</v>
      </c>
      <c r="F168" s="14" t="str">
        <f>"18"</f>
        <v>18</v>
      </c>
      <c r="G168" s="14">
        <v>79</v>
      </c>
      <c r="H168" s="14">
        <v>86</v>
      </c>
      <c r="I168" s="19">
        <f t="shared" si="8"/>
        <v>83.2</v>
      </c>
      <c r="J168" s="16">
        <v>79</v>
      </c>
      <c r="K168" s="16">
        <f t="shared" si="9"/>
        <v>80.260000000000005</v>
      </c>
      <c r="L168" s="20">
        <v>8</v>
      </c>
      <c r="M168" s="18"/>
    </row>
    <row r="169" spans="1:13" s="1" customFormat="1" ht="32.1" customHeight="1">
      <c r="A169" s="12">
        <v>167</v>
      </c>
      <c r="B169" s="12">
        <v>11</v>
      </c>
      <c r="C169" s="13" t="s">
        <v>36</v>
      </c>
      <c r="D169" s="14" t="str">
        <f>"2020250617"</f>
        <v>2020250617</v>
      </c>
      <c r="E169" s="14" t="str">
        <f>"06"</f>
        <v>06</v>
      </c>
      <c r="F169" s="14" t="str">
        <f>"17"</f>
        <v>17</v>
      </c>
      <c r="G169" s="14">
        <v>78</v>
      </c>
      <c r="H169" s="14">
        <v>85</v>
      </c>
      <c r="I169" s="19">
        <f t="shared" si="8"/>
        <v>82.2</v>
      </c>
      <c r="J169" s="16">
        <v>77.400000000000006</v>
      </c>
      <c r="K169" s="16">
        <f t="shared" si="9"/>
        <v>78.84</v>
      </c>
      <c r="L169" s="20">
        <v>8</v>
      </c>
      <c r="M169" s="18"/>
    </row>
    <row r="170" spans="1:13" s="1" customFormat="1" ht="32.1" customHeight="1">
      <c r="A170" s="12">
        <v>168</v>
      </c>
      <c r="B170" s="12">
        <v>12</v>
      </c>
      <c r="C170" s="13" t="s">
        <v>36</v>
      </c>
      <c r="D170" s="14" t="str">
        <f>"2020250505"</f>
        <v>2020250505</v>
      </c>
      <c r="E170" s="14" t="str">
        <f>"05"</f>
        <v>05</v>
      </c>
      <c r="F170" s="14" t="str">
        <f>"05"</f>
        <v>05</v>
      </c>
      <c r="G170" s="14">
        <v>67</v>
      </c>
      <c r="H170" s="14">
        <v>75</v>
      </c>
      <c r="I170" s="19">
        <f t="shared" si="8"/>
        <v>71.8</v>
      </c>
      <c r="J170" s="16">
        <v>81.400000000000006</v>
      </c>
      <c r="K170" s="16">
        <f t="shared" si="9"/>
        <v>78.52</v>
      </c>
      <c r="L170" s="20">
        <v>8</v>
      </c>
      <c r="M170" s="18"/>
    </row>
    <row r="171" spans="1:13" s="1" customFormat="1" ht="32.1" customHeight="1">
      <c r="A171" s="12">
        <v>169</v>
      </c>
      <c r="B171" s="12">
        <v>13</v>
      </c>
      <c r="C171" s="13" t="s">
        <v>36</v>
      </c>
      <c r="D171" s="14" t="str">
        <f>"2020250527"</f>
        <v>2020250527</v>
      </c>
      <c r="E171" s="14" t="str">
        <f>"05"</f>
        <v>05</v>
      </c>
      <c r="F171" s="14" t="str">
        <f>"27"</f>
        <v>27</v>
      </c>
      <c r="G171" s="14">
        <v>80</v>
      </c>
      <c r="H171" s="14">
        <v>63</v>
      </c>
      <c r="I171" s="19">
        <f t="shared" si="8"/>
        <v>69.8</v>
      </c>
      <c r="J171" s="16">
        <v>82</v>
      </c>
      <c r="K171" s="16">
        <f t="shared" si="9"/>
        <v>78.34</v>
      </c>
      <c r="L171" s="20">
        <v>8</v>
      </c>
      <c r="M171" s="18"/>
    </row>
    <row r="172" spans="1:13" s="1" customFormat="1" ht="32.1" customHeight="1">
      <c r="A172" s="12">
        <v>170</v>
      </c>
      <c r="B172" s="12">
        <v>14</v>
      </c>
      <c r="C172" s="13" t="s">
        <v>36</v>
      </c>
      <c r="D172" s="14" t="str">
        <f>"2020250615"</f>
        <v>2020250615</v>
      </c>
      <c r="E172" s="14" t="str">
        <f t="shared" ref="E172:E177" si="10">"06"</f>
        <v>06</v>
      </c>
      <c r="F172" s="14" t="str">
        <f>"15"</f>
        <v>15</v>
      </c>
      <c r="G172" s="14">
        <v>72</v>
      </c>
      <c r="H172" s="14">
        <v>79</v>
      </c>
      <c r="I172" s="19">
        <f t="shared" si="8"/>
        <v>76.2</v>
      </c>
      <c r="J172" s="16">
        <v>76.400000000000006</v>
      </c>
      <c r="K172" s="16">
        <f t="shared" si="9"/>
        <v>76.34</v>
      </c>
      <c r="L172" s="20">
        <v>8</v>
      </c>
      <c r="M172" s="18"/>
    </row>
    <row r="173" spans="1:13" s="1" customFormat="1" ht="32.1" customHeight="1">
      <c r="A173" s="12">
        <v>171</v>
      </c>
      <c r="B173" s="12">
        <v>15</v>
      </c>
      <c r="C173" s="13" t="s">
        <v>36</v>
      </c>
      <c r="D173" s="14" t="str">
        <f>"2020250606"</f>
        <v>2020250606</v>
      </c>
      <c r="E173" s="14" t="str">
        <f t="shared" si="10"/>
        <v>06</v>
      </c>
      <c r="F173" s="14" t="str">
        <f>"06"</f>
        <v>06</v>
      </c>
      <c r="G173" s="14">
        <v>73</v>
      </c>
      <c r="H173" s="14">
        <v>77</v>
      </c>
      <c r="I173" s="19">
        <f t="shared" si="8"/>
        <v>75.400000000000006</v>
      </c>
      <c r="J173" s="16">
        <v>76.400000000000006</v>
      </c>
      <c r="K173" s="16">
        <f t="shared" si="9"/>
        <v>76.099999999999994</v>
      </c>
      <c r="L173" s="20">
        <v>8</v>
      </c>
      <c r="M173" s="18"/>
    </row>
    <row r="174" spans="1:13" s="1" customFormat="1" ht="32.1" customHeight="1">
      <c r="A174" s="12">
        <v>172</v>
      </c>
      <c r="B174" s="12">
        <v>16</v>
      </c>
      <c r="C174" s="13" t="s">
        <v>36</v>
      </c>
      <c r="D174" s="14" t="str">
        <f>"2020250607"</f>
        <v>2020250607</v>
      </c>
      <c r="E174" s="14" t="str">
        <f t="shared" si="10"/>
        <v>06</v>
      </c>
      <c r="F174" s="14" t="str">
        <f>"07"</f>
        <v>07</v>
      </c>
      <c r="G174" s="14">
        <v>72</v>
      </c>
      <c r="H174" s="14">
        <v>84</v>
      </c>
      <c r="I174" s="19">
        <f t="shared" si="8"/>
        <v>79.2</v>
      </c>
      <c r="J174" s="16">
        <v>74.400000000000006</v>
      </c>
      <c r="K174" s="16">
        <f t="shared" si="9"/>
        <v>75.84</v>
      </c>
      <c r="L174" s="20">
        <v>8</v>
      </c>
      <c r="M174" s="18"/>
    </row>
    <row r="175" spans="1:13" s="1" customFormat="1" ht="32.1" customHeight="1">
      <c r="A175" s="12">
        <v>173</v>
      </c>
      <c r="B175" s="12">
        <v>17</v>
      </c>
      <c r="C175" s="13" t="s">
        <v>36</v>
      </c>
      <c r="D175" s="14" t="str">
        <f>"2020250608"</f>
        <v>2020250608</v>
      </c>
      <c r="E175" s="14" t="str">
        <f t="shared" si="10"/>
        <v>06</v>
      </c>
      <c r="F175" s="14" t="str">
        <f>"08"</f>
        <v>08</v>
      </c>
      <c r="G175" s="14">
        <v>68</v>
      </c>
      <c r="H175" s="14">
        <v>82</v>
      </c>
      <c r="I175" s="19">
        <f t="shared" si="8"/>
        <v>76.400000000000006</v>
      </c>
      <c r="J175" s="16">
        <v>75.2</v>
      </c>
      <c r="K175" s="16">
        <f t="shared" si="9"/>
        <v>75.56</v>
      </c>
      <c r="L175" s="20">
        <v>8</v>
      </c>
      <c r="M175" s="18"/>
    </row>
    <row r="176" spans="1:13" s="2" customFormat="1" ht="32.1" customHeight="1">
      <c r="A176" s="12">
        <v>174</v>
      </c>
      <c r="B176" s="27">
        <v>18</v>
      </c>
      <c r="C176" s="28" t="s">
        <v>36</v>
      </c>
      <c r="D176" s="29" t="str">
        <f>"2020250625"</f>
        <v>2020250625</v>
      </c>
      <c r="E176" s="29" t="str">
        <f t="shared" si="10"/>
        <v>06</v>
      </c>
      <c r="F176" s="29" t="str">
        <f>"25"</f>
        <v>25</v>
      </c>
      <c r="G176" s="29">
        <v>74</v>
      </c>
      <c r="H176" s="29">
        <v>90</v>
      </c>
      <c r="I176" s="30">
        <f t="shared" si="8"/>
        <v>83.6</v>
      </c>
      <c r="J176" s="31">
        <v>71.2</v>
      </c>
      <c r="K176" s="31">
        <f t="shared" si="9"/>
        <v>74.92</v>
      </c>
      <c r="L176" s="32">
        <v>8</v>
      </c>
      <c r="M176" s="22"/>
    </row>
    <row r="177" spans="1:13" s="1" customFormat="1" ht="32.1" customHeight="1">
      <c r="A177" s="12">
        <v>175</v>
      </c>
      <c r="B177" s="12">
        <v>19</v>
      </c>
      <c r="C177" s="13" t="s">
        <v>36</v>
      </c>
      <c r="D177" s="14" t="str">
        <f>"2020250602"</f>
        <v>2020250602</v>
      </c>
      <c r="E177" s="14" t="str">
        <f t="shared" si="10"/>
        <v>06</v>
      </c>
      <c r="F177" s="14" t="str">
        <f>"02"</f>
        <v>02</v>
      </c>
      <c r="G177" s="14">
        <v>57</v>
      </c>
      <c r="H177" s="14">
        <v>77</v>
      </c>
      <c r="I177" s="19">
        <f t="shared" si="8"/>
        <v>69</v>
      </c>
      <c r="J177" s="16">
        <v>77.2</v>
      </c>
      <c r="K177" s="16">
        <f t="shared" si="9"/>
        <v>74.739999999999995</v>
      </c>
      <c r="L177" s="20">
        <v>8</v>
      </c>
      <c r="M177" s="18"/>
    </row>
    <row r="178" spans="1:13" s="1" customFormat="1" ht="32.1" customHeight="1">
      <c r="A178" s="12">
        <v>176</v>
      </c>
      <c r="B178" s="12">
        <v>20</v>
      </c>
      <c r="C178" s="13" t="s">
        <v>36</v>
      </c>
      <c r="D178" s="14" t="str">
        <f>"2020250508"</f>
        <v>2020250508</v>
      </c>
      <c r="E178" s="14" t="str">
        <f>"05"</f>
        <v>05</v>
      </c>
      <c r="F178" s="14" t="str">
        <f>"08"</f>
        <v>08</v>
      </c>
      <c r="G178" s="14">
        <v>73</v>
      </c>
      <c r="H178" s="14">
        <v>79</v>
      </c>
      <c r="I178" s="19">
        <f t="shared" si="8"/>
        <v>76.599999999999994</v>
      </c>
      <c r="J178" s="16">
        <v>73.400000000000006</v>
      </c>
      <c r="K178" s="16">
        <f t="shared" si="9"/>
        <v>74.36</v>
      </c>
      <c r="L178" s="20">
        <v>8</v>
      </c>
      <c r="M178" s="18"/>
    </row>
    <row r="179" spans="1:13" s="1" customFormat="1">
      <c r="A179" s="3"/>
      <c r="B179" s="3"/>
      <c r="C179" s="21"/>
      <c r="I179" s="23"/>
      <c r="J179" s="7"/>
      <c r="K179" s="7"/>
      <c r="L179" s="8"/>
      <c r="M179" s="9"/>
    </row>
  </sheetData>
  <mergeCells count="1">
    <mergeCell ref="A1:M1"/>
  </mergeCells>
  <phoneticPr fontId="12" type="noConversion"/>
  <pageMargins left="0.156944444444444" right="0.118055555555556" top="0.23611111111111099" bottom="0.196527777777778" header="0.5" footer="0.5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2020-09-12T09:05:00Z</cp:lastPrinted>
  <dcterms:created xsi:type="dcterms:W3CDTF">2020-08-21T16:45:00Z</dcterms:created>
  <dcterms:modified xsi:type="dcterms:W3CDTF">2020-09-13T09:24:18Z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